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w User\Desktop\new stuff\"/>
    </mc:Choice>
  </mc:AlternateContent>
  <xr:revisionPtr revIDLastSave="0" documentId="8_{F962CF7F-0EC8-449E-8FE4-DF1CB80A7088}" xr6:coauthVersionLast="47" xr6:coauthVersionMax="47" xr10:uidLastSave="{00000000-0000-0000-0000-000000000000}"/>
  <bookViews>
    <workbookView xWindow="-108" yWindow="-108" windowWidth="23256" windowHeight="13176" tabRatio="597" activeTab="2" xr2:uid="{00000000-000D-0000-FFFF-FFFF00000000}"/>
  </bookViews>
  <sheets>
    <sheet name="Sales forecast" sheetId="2" r:id="rId1"/>
    <sheet name="Cash-flow" sheetId="3" r:id="rId2"/>
    <sheet name="Profit and Loss" sheetId="4" r:id="rId3"/>
    <sheet name="Tables" sheetId="5" state="hidden" r:id="rId4"/>
  </sheets>
  <definedNames>
    <definedName name="_xlnm.Print_Area" localSheetId="1">'Cash-flow'!$A$1:$AR$45</definedName>
    <definedName name="_xlnm.Print_Area" localSheetId="2">'Profit and Loss'!$A$1:$O$51</definedName>
    <definedName name="_xlnm.Print_Area" localSheetId="0">'Sales forecast'!$A$1:$AW$26</definedName>
    <definedName name="_xlnm.Print_Titles" localSheetId="1">'Cash-flow'!$A:$B</definedName>
    <definedName name="_xlnm.Print_Titles" localSheetId="0">'Sales forecast'!$B:$B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4" i="5" l="1"/>
  <c r="Y24" i="5"/>
  <c r="Y17" i="5"/>
  <c r="T21" i="5"/>
  <c r="T14" i="5"/>
  <c r="W30" i="5"/>
  <c r="W29" i="5"/>
  <c r="W28" i="5"/>
  <c r="V29" i="5"/>
  <c r="V28" i="5"/>
  <c r="W23" i="5"/>
  <c r="W16" i="5"/>
  <c r="W22" i="5"/>
  <c r="W21" i="5"/>
  <c r="V22" i="5"/>
  <c r="X22" i="5" s="1"/>
  <c r="V21" i="5"/>
  <c r="W15" i="5"/>
  <c r="W14" i="5"/>
  <c r="V15" i="5"/>
  <c r="V14" i="5"/>
  <c r="U21" i="5"/>
  <c r="X21" i="5"/>
  <c r="U22" i="5"/>
  <c r="U23" i="5"/>
  <c r="U37" i="5" s="1"/>
  <c r="V23" i="5"/>
  <c r="Y25" i="5"/>
  <c r="U28" i="5"/>
  <c r="U29" i="5"/>
  <c r="U30" i="5"/>
  <c r="Y31" i="5"/>
  <c r="T35" i="5"/>
  <c r="U35" i="5"/>
  <c r="V35" i="5"/>
  <c r="W35" i="5"/>
  <c r="T36" i="5"/>
  <c r="U36" i="5"/>
  <c r="V36" i="5"/>
  <c r="W36" i="5"/>
  <c r="T37" i="5"/>
  <c r="V37" i="5"/>
  <c r="W37" i="5"/>
  <c r="T38" i="5"/>
  <c r="U38" i="5"/>
  <c r="V38" i="5"/>
  <c r="W38" i="5"/>
  <c r="U39" i="5"/>
  <c r="V39" i="5"/>
  <c r="W39" i="5" s="1"/>
  <c r="Y41" i="5"/>
  <c r="Y35" i="5" s="1"/>
  <c r="D35" i="5"/>
  <c r="D34" i="5"/>
  <c r="C35" i="5"/>
  <c r="C34" i="5"/>
  <c r="B35" i="5"/>
  <c r="B34" i="5"/>
  <c r="Q32" i="5"/>
  <c r="Q31" i="5"/>
  <c r="Q30" i="5"/>
  <c r="AR31" i="3"/>
  <c r="AR32" i="3"/>
  <c r="AG31" i="3"/>
  <c r="AH31" i="3"/>
  <c r="AI31" i="3"/>
  <c r="AJ31" i="3"/>
  <c r="AK31" i="3"/>
  <c r="AL31" i="3"/>
  <c r="AM31" i="3"/>
  <c r="AN31" i="3"/>
  <c r="AO31" i="3"/>
  <c r="AP31" i="3"/>
  <c r="AQ31" i="3"/>
  <c r="AF31" i="3"/>
  <c r="AD31" i="3"/>
  <c r="AD32" i="3"/>
  <c r="V27" i="3"/>
  <c r="W27" i="3"/>
  <c r="X27" i="3"/>
  <c r="Y27" i="3"/>
  <c r="Z27" i="3"/>
  <c r="AA27" i="3"/>
  <c r="AB27" i="3"/>
  <c r="AC27" i="3"/>
  <c r="R27" i="3"/>
  <c r="S27" i="3"/>
  <c r="T27" i="3"/>
  <c r="U27" i="3"/>
  <c r="M12" i="5"/>
  <c r="L12" i="5"/>
  <c r="M5" i="5"/>
  <c r="M8" i="5"/>
  <c r="M6" i="5"/>
  <c r="N6" i="5"/>
  <c r="N7" i="5"/>
  <c r="N8" i="5"/>
  <c r="N9" i="5"/>
  <c r="N11" i="5"/>
  <c r="N5" i="5"/>
  <c r="N4" i="5"/>
  <c r="M9" i="5"/>
  <c r="M7" i="5"/>
  <c r="M4" i="5"/>
  <c r="S19" i="3"/>
  <c r="T19" i="3"/>
  <c r="U19" i="3"/>
  <c r="AD19" i="3" s="1"/>
  <c r="H11" i="4" s="1"/>
  <c r="V19" i="3"/>
  <c r="W19" i="3"/>
  <c r="X19" i="3"/>
  <c r="Y19" i="3"/>
  <c r="Z19" i="3"/>
  <c r="AA19" i="3"/>
  <c r="AB19" i="3"/>
  <c r="AC19" i="3"/>
  <c r="R19" i="3"/>
  <c r="L11" i="4"/>
  <c r="C11" i="4"/>
  <c r="AR18" i="3"/>
  <c r="AR19" i="3"/>
  <c r="AJ18" i="3"/>
  <c r="AK18" i="3"/>
  <c r="AL18" i="3"/>
  <c r="AM18" i="3"/>
  <c r="AN18" i="3"/>
  <c r="AO18" i="3"/>
  <c r="AP18" i="3"/>
  <c r="AQ18" i="3"/>
  <c r="AJ19" i="3"/>
  <c r="AK19" i="3"/>
  <c r="AL19" i="3"/>
  <c r="AM19" i="3"/>
  <c r="AN19" i="3"/>
  <c r="AO19" i="3"/>
  <c r="AP19" i="3"/>
  <c r="AQ19" i="3"/>
  <c r="AG18" i="3"/>
  <c r="AH18" i="3"/>
  <c r="AI18" i="3"/>
  <c r="AG19" i="3"/>
  <c r="AH19" i="3"/>
  <c r="AI19" i="3"/>
  <c r="AF19" i="3"/>
  <c r="AF18" i="3"/>
  <c r="AD18" i="3"/>
  <c r="V18" i="3"/>
  <c r="W18" i="3"/>
  <c r="X18" i="3"/>
  <c r="Y18" i="3"/>
  <c r="Z18" i="3"/>
  <c r="AA18" i="3"/>
  <c r="AB18" i="3"/>
  <c r="AC18" i="3"/>
  <c r="U18" i="3"/>
  <c r="S18" i="3"/>
  <c r="T18" i="3"/>
  <c r="R18" i="3"/>
  <c r="P19" i="3"/>
  <c r="E18" i="3"/>
  <c r="F18" i="3"/>
  <c r="G18" i="3"/>
  <c r="H18" i="3"/>
  <c r="I18" i="3"/>
  <c r="J18" i="3"/>
  <c r="K18" i="3"/>
  <c r="L18" i="3"/>
  <c r="M18" i="3"/>
  <c r="N18" i="3"/>
  <c r="O18" i="3"/>
  <c r="E19" i="3"/>
  <c r="F19" i="3"/>
  <c r="G19" i="3"/>
  <c r="H19" i="3"/>
  <c r="I19" i="3"/>
  <c r="J19" i="3"/>
  <c r="K19" i="3"/>
  <c r="L19" i="3"/>
  <c r="M19" i="3"/>
  <c r="N19" i="3"/>
  <c r="O19" i="3"/>
  <c r="D19" i="3"/>
  <c r="D18" i="3"/>
  <c r="AV23" i="2"/>
  <c r="AK21" i="2"/>
  <c r="AL21" i="2"/>
  <c r="AM21" i="2"/>
  <c r="AN21" i="2"/>
  <c r="AO21" i="2"/>
  <c r="AP21" i="2"/>
  <c r="AQ21" i="2"/>
  <c r="AR21" i="2"/>
  <c r="AS21" i="2"/>
  <c r="AT21" i="2"/>
  <c r="AU21" i="2"/>
  <c r="AK23" i="2"/>
  <c r="AL23" i="2"/>
  <c r="AM23" i="2"/>
  <c r="AN23" i="2"/>
  <c r="AO23" i="2"/>
  <c r="AP23" i="2"/>
  <c r="AQ23" i="2"/>
  <c r="AR23" i="2"/>
  <c r="AS23" i="2"/>
  <c r="AT23" i="2"/>
  <c r="AU23" i="2"/>
  <c r="AJ23" i="2"/>
  <c r="AF23" i="2"/>
  <c r="U21" i="2"/>
  <c r="V21" i="2"/>
  <c r="W21" i="2"/>
  <c r="X21" i="2"/>
  <c r="Y21" i="2"/>
  <c r="Z21" i="2"/>
  <c r="AA21" i="2"/>
  <c r="AB21" i="2"/>
  <c r="AC21" i="2"/>
  <c r="AD21" i="2"/>
  <c r="AE21" i="2"/>
  <c r="V22" i="2"/>
  <c r="Z22" i="2"/>
  <c r="AD22" i="2"/>
  <c r="U23" i="2"/>
  <c r="V23" i="2"/>
  <c r="W23" i="2"/>
  <c r="X23" i="2"/>
  <c r="Y23" i="2"/>
  <c r="Z23" i="2"/>
  <c r="AA23" i="2"/>
  <c r="AB23" i="2"/>
  <c r="AC23" i="2"/>
  <c r="AD23" i="2"/>
  <c r="AE23" i="2"/>
  <c r="T23" i="2"/>
  <c r="AF11" i="2"/>
  <c r="AF12" i="2"/>
  <c r="AF13" i="2"/>
  <c r="AV12" i="2"/>
  <c r="AV13" i="2"/>
  <c r="Q23" i="2"/>
  <c r="E22" i="2"/>
  <c r="F22" i="2"/>
  <c r="G22" i="2"/>
  <c r="H22" i="2"/>
  <c r="I22" i="2"/>
  <c r="J22" i="2"/>
  <c r="K22" i="2"/>
  <c r="L22" i="2"/>
  <c r="M22" i="2"/>
  <c r="N22" i="2"/>
  <c r="O22" i="2"/>
  <c r="P22" i="2"/>
  <c r="E23" i="2"/>
  <c r="F23" i="2"/>
  <c r="G23" i="2"/>
  <c r="H23" i="2"/>
  <c r="I23" i="2"/>
  <c r="J23" i="2"/>
  <c r="K23" i="2"/>
  <c r="L23" i="2"/>
  <c r="M23" i="2"/>
  <c r="N23" i="2"/>
  <c r="O23" i="2"/>
  <c r="P23" i="2"/>
  <c r="S22" i="2"/>
  <c r="W22" i="2" s="1"/>
  <c r="B22" i="2"/>
  <c r="B23" i="2"/>
  <c r="Q12" i="2"/>
  <c r="Q13" i="2"/>
  <c r="D28" i="3"/>
  <c r="E28" i="3"/>
  <c r="F28" i="3"/>
  <c r="L9" i="5"/>
  <c r="K9" i="5"/>
  <c r="M21" i="4"/>
  <c r="M27" i="4"/>
  <c r="M28" i="4"/>
  <c r="M29" i="4"/>
  <c r="M30" i="4"/>
  <c r="M31" i="4"/>
  <c r="M32" i="4"/>
  <c r="M34" i="4"/>
  <c r="M35" i="4"/>
  <c r="M36" i="4"/>
  <c r="I21" i="4"/>
  <c r="I27" i="4"/>
  <c r="I28" i="4"/>
  <c r="I29" i="4"/>
  <c r="I30" i="4"/>
  <c r="I31" i="4"/>
  <c r="I32" i="4"/>
  <c r="I34" i="4"/>
  <c r="I35" i="4"/>
  <c r="I36" i="4"/>
  <c r="D21" i="4"/>
  <c r="D22" i="4"/>
  <c r="D23" i="4"/>
  <c r="D24" i="4"/>
  <c r="D25" i="4"/>
  <c r="D27" i="4"/>
  <c r="D28" i="4"/>
  <c r="D31" i="4"/>
  <c r="D32" i="4"/>
  <c r="D34" i="4"/>
  <c r="D35" i="4"/>
  <c r="D36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G25" i="3"/>
  <c r="P16" i="3"/>
  <c r="P31" i="3"/>
  <c r="D29" i="4" s="1"/>
  <c r="P32" i="3"/>
  <c r="D30" i="4" s="1"/>
  <c r="AK6" i="2"/>
  <c r="AL6" i="2"/>
  <c r="AM6" i="2"/>
  <c r="AN6" i="2"/>
  <c r="AO6" i="2"/>
  <c r="AP6" i="2"/>
  <c r="AQ6" i="2"/>
  <c r="AR6" i="2"/>
  <c r="AS6" i="2"/>
  <c r="AT6" i="2"/>
  <c r="AU6" i="2"/>
  <c r="T6" i="2"/>
  <c r="AJ6" i="2" s="1"/>
  <c r="U5" i="2"/>
  <c r="AK5" i="2" s="1"/>
  <c r="V5" i="2"/>
  <c r="AL5" i="2" s="1"/>
  <c r="W5" i="2"/>
  <c r="AM5" i="2" s="1"/>
  <c r="X5" i="2"/>
  <c r="AN5" i="2" s="1"/>
  <c r="Y5" i="2"/>
  <c r="AO5" i="2" s="1"/>
  <c r="Z5" i="2"/>
  <c r="AP5" i="2" s="1"/>
  <c r="AA5" i="2"/>
  <c r="AQ5" i="2" s="1"/>
  <c r="AB5" i="2"/>
  <c r="AR5" i="2" s="1"/>
  <c r="AC5" i="2"/>
  <c r="AS5" i="2" s="1"/>
  <c r="AD5" i="2"/>
  <c r="AT5" i="2" s="1"/>
  <c r="AE5" i="2"/>
  <c r="AU5" i="2" s="1"/>
  <c r="T5" i="2"/>
  <c r="AJ5" i="2" s="1"/>
  <c r="B21" i="2"/>
  <c r="S23" i="2"/>
  <c r="AH23" i="2" s="1"/>
  <c r="Y8" i="5"/>
  <c r="L4" i="5"/>
  <c r="L5" i="5"/>
  <c r="L6" i="5"/>
  <c r="L7" i="5"/>
  <c r="L8" i="5"/>
  <c r="K8" i="5"/>
  <c r="K7" i="5"/>
  <c r="K6" i="5"/>
  <c r="K5" i="5"/>
  <c r="K4" i="5"/>
  <c r="V30" i="5" l="1"/>
  <c r="T28" i="5" s="1"/>
  <c r="Y28" i="5" s="1"/>
  <c r="Z28" i="5" s="1"/>
  <c r="AA28" i="5" s="1"/>
  <c r="T22" i="5"/>
  <c r="Y21" i="5"/>
  <c r="X14" i="5"/>
  <c r="X39" i="5"/>
  <c r="Z35" i="5"/>
  <c r="AA35" i="5" s="1"/>
  <c r="Z21" i="5"/>
  <c r="AA21" i="5" s="1"/>
  <c r="Y38" i="5"/>
  <c r="Z38" i="5" s="1"/>
  <c r="AA38" i="5" s="1"/>
  <c r="Y37" i="5"/>
  <c r="Z37" i="5" s="1"/>
  <c r="AA37" i="5" s="1"/>
  <c r="Y36" i="5"/>
  <c r="Y39" i="5" s="1"/>
  <c r="Z39" i="5" s="1"/>
  <c r="AA39" i="5" s="1"/>
  <c r="Y22" i="5"/>
  <c r="V16" i="5"/>
  <c r="X38" i="5"/>
  <c r="X37" i="5"/>
  <c r="X36" i="5"/>
  <c r="X35" i="5"/>
  <c r="X29" i="5"/>
  <c r="X28" i="5"/>
  <c r="X15" i="5"/>
  <c r="X23" i="5"/>
  <c r="N12" i="5"/>
  <c r="AC22" i="2"/>
  <c r="Y22" i="2"/>
  <c r="U22" i="2"/>
  <c r="AH22" i="2"/>
  <c r="AB22" i="2"/>
  <c r="X22" i="2"/>
  <c r="T22" i="2"/>
  <c r="AE22" i="2"/>
  <c r="AA22" i="2"/>
  <c r="Q22" i="2"/>
  <c r="T13" i="2"/>
  <c r="U13" i="2" s="1"/>
  <c r="V13" i="2" s="1"/>
  <c r="W13" i="2" s="1"/>
  <c r="X13" i="2" s="1"/>
  <c r="Y13" i="2" s="1"/>
  <c r="Z13" i="2" s="1"/>
  <c r="AA13" i="2" s="1"/>
  <c r="AB13" i="2" s="1"/>
  <c r="AC13" i="2" s="1"/>
  <c r="AD13" i="2" s="1"/>
  <c r="AE13" i="2" s="1"/>
  <c r="AJ13" i="2" s="1"/>
  <c r="AK13" i="2" s="1"/>
  <c r="S25" i="3"/>
  <c r="AG25" i="3" s="1"/>
  <c r="T25" i="3"/>
  <c r="AH25" i="3" s="1"/>
  <c r="R25" i="3"/>
  <c r="AK29" i="3"/>
  <c r="AG22" i="3"/>
  <c r="AH22" i="3"/>
  <c r="AI22" i="3"/>
  <c r="AJ22" i="3"/>
  <c r="AK22" i="3"/>
  <c r="AL22" i="3"/>
  <c r="AM22" i="3"/>
  <c r="AN22" i="3"/>
  <c r="AO22" i="3"/>
  <c r="AP22" i="3"/>
  <c r="AQ22" i="3"/>
  <c r="S23" i="3"/>
  <c r="AG23" i="3" s="1"/>
  <c r="T23" i="3"/>
  <c r="AH23" i="3" s="1"/>
  <c r="U23" i="3"/>
  <c r="AI23" i="3" s="1"/>
  <c r="V23" i="3"/>
  <c r="AJ23" i="3" s="1"/>
  <c r="W23" i="3"/>
  <c r="AK23" i="3" s="1"/>
  <c r="X23" i="3"/>
  <c r="AL23" i="3" s="1"/>
  <c r="Y23" i="3"/>
  <c r="AM23" i="3" s="1"/>
  <c r="Z23" i="3"/>
  <c r="AN23" i="3" s="1"/>
  <c r="AA23" i="3"/>
  <c r="AO23" i="3" s="1"/>
  <c r="AB23" i="3"/>
  <c r="AP23" i="3" s="1"/>
  <c r="AC23" i="3"/>
  <c r="AQ23" i="3" s="1"/>
  <c r="AG24" i="3"/>
  <c r="AI24" i="3"/>
  <c r="AJ24" i="3"/>
  <c r="AK24" i="3"/>
  <c r="AL24" i="3"/>
  <c r="AM24" i="3"/>
  <c r="AN24" i="3"/>
  <c r="AO24" i="3"/>
  <c r="AP24" i="3"/>
  <c r="AQ24" i="3"/>
  <c r="AG26" i="3"/>
  <c r="AH26" i="3"/>
  <c r="AI26" i="3"/>
  <c r="AJ26" i="3"/>
  <c r="AK26" i="3"/>
  <c r="AL26" i="3"/>
  <c r="AM26" i="3"/>
  <c r="AN26" i="3"/>
  <c r="AO26" i="3"/>
  <c r="AP26" i="3"/>
  <c r="AQ26" i="3"/>
  <c r="S29" i="3"/>
  <c r="AG29" i="3" s="1"/>
  <c r="T29" i="3"/>
  <c r="AH29" i="3" s="1"/>
  <c r="U29" i="3"/>
  <c r="AI29" i="3" s="1"/>
  <c r="V29" i="3"/>
  <c r="AJ29" i="3" s="1"/>
  <c r="W29" i="3"/>
  <c r="X29" i="3"/>
  <c r="AL29" i="3" s="1"/>
  <c r="Y29" i="3"/>
  <c r="AM29" i="3" s="1"/>
  <c r="Z29" i="3"/>
  <c r="AN29" i="3" s="1"/>
  <c r="AA29" i="3"/>
  <c r="AO29" i="3" s="1"/>
  <c r="AB29" i="3"/>
  <c r="AP29" i="3" s="1"/>
  <c r="AC29" i="3"/>
  <c r="AQ29" i="3" s="1"/>
  <c r="X30" i="3"/>
  <c r="AL30" i="3" s="1"/>
  <c r="AG32" i="3"/>
  <c r="AH32" i="3"/>
  <c r="AI32" i="3"/>
  <c r="AJ32" i="3"/>
  <c r="AK32" i="3"/>
  <c r="AL32" i="3"/>
  <c r="AM32" i="3"/>
  <c r="AN32" i="3"/>
  <c r="AO32" i="3"/>
  <c r="AP32" i="3"/>
  <c r="AQ32" i="3"/>
  <c r="S33" i="3"/>
  <c r="AG33" i="3" s="1"/>
  <c r="T33" i="3"/>
  <c r="AH33" i="3" s="1"/>
  <c r="U33" i="3"/>
  <c r="AI33" i="3" s="1"/>
  <c r="V33" i="3"/>
  <c r="AJ33" i="3" s="1"/>
  <c r="W33" i="3"/>
  <c r="AK33" i="3" s="1"/>
  <c r="X33" i="3"/>
  <c r="AL33" i="3" s="1"/>
  <c r="Y33" i="3"/>
  <c r="AM33" i="3" s="1"/>
  <c r="Z33" i="3"/>
  <c r="AN33" i="3" s="1"/>
  <c r="AA33" i="3"/>
  <c r="AO33" i="3" s="1"/>
  <c r="AB33" i="3"/>
  <c r="AP33" i="3" s="1"/>
  <c r="AC33" i="3"/>
  <c r="AQ33" i="3" s="1"/>
  <c r="S34" i="3"/>
  <c r="AG34" i="3" s="1"/>
  <c r="T34" i="3"/>
  <c r="AH34" i="3" s="1"/>
  <c r="U34" i="3"/>
  <c r="AI34" i="3" s="1"/>
  <c r="V34" i="3"/>
  <c r="AJ34" i="3" s="1"/>
  <c r="W34" i="3"/>
  <c r="AK34" i="3" s="1"/>
  <c r="X34" i="3"/>
  <c r="AL34" i="3" s="1"/>
  <c r="Y34" i="3"/>
  <c r="AM34" i="3" s="1"/>
  <c r="Z34" i="3"/>
  <c r="AN34" i="3" s="1"/>
  <c r="AA34" i="3"/>
  <c r="AO34" i="3" s="1"/>
  <c r="AB34" i="3"/>
  <c r="AP34" i="3" s="1"/>
  <c r="AC34" i="3"/>
  <c r="AQ34" i="3" s="1"/>
  <c r="S36" i="3"/>
  <c r="T36" i="3"/>
  <c r="AH36" i="3" s="1"/>
  <c r="U36" i="3"/>
  <c r="AI36" i="3" s="1"/>
  <c r="V36" i="3"/>
  <c r="AJ36" i="3" s="1"/>
  <c r="W36" i="3"/>
  <c r="AK36" i="3" s="1"/>
  <c r="X36" i="3"/>
  <c r="AL36" i="3" s="1"/>
  <c r="Y36" i="3"/>
  <c r="AM36" i="3" s="1"/>
  <c r="Z36" i="3"/>
  <c r="AN36" i="3" s="1"/>
  <c r="AA36" i="3"/>
  <c r="AO36" i="3" s="1"/>
  <c r="AB36" i="3"/>
  <c r="AP36" i="3" s="1"/>
  <c r="AC36" i="3"/>
  <c r="AQ36" i="3" s="1"/>
  <c r="R23" i="3"/>
  <c r="AF23" i="3" s="1"/>
  <c r="AF24" i="3"/>
  <c r="AF26" i="3"/>
  <c r="R29" i="3"/>
  <c r="AF29" i="3" s="1"/>
  <c r="AF32" i="3"/>
  <c r="R33" i="3"/>
  <c r="AF33" i="3" s="1"/>
  <c r="R34" i="3"/>
  <c r="AF34" i="3" s="1"/>
  <c r="R36" i="3"/>
  <c r="AF36" i="3" s="1"/>
  <c r="AF22" i="3"/>
  <c r="P36" i="3"/>
  <c r="F30" i="3"/>
  <c r="T30" i="3" s="1"/>
  <c r="AH30" i="3" s="1"/>
  <c r="G30" i="3"/>
  <c r="U30" i="3" s="1"/>
  <c r="AI30" i="3" s="1"/>
  <c r="H30" i="3"/>
  <c r="V30" i="3" s="1"/>
  <c r="AJ30" i="3" s="1"/>
  <c r="I30" i="3"/>
  <c r="W30" i="3" s="1"/>
  <c r="AK30" i="3" s="1"/>
  <c r="J30" i="3"/>
  <c r="K30" i="3"/>
  <c r="Y30" i="3" s="1"/>
  <c r="AM30" i="3" s="1"/>
  <c r="L30" i="3"/>
  <c r="Z30" i="3" s="1"/>
  <c r="AN30" i="3" s="1"/>
  <c r="M30" i="3"/>
  <c r="AA30" i="3" s="1"/>
  <c r="AO30" i="3" s="1"/>
  <c r="N30" i="3"/>
  <c r="AB30" i="3" s="1"/>
  <c r="AP30" i="3" s="1"/>
  <c r="O30" i="3"/>
  <c r="AC30" i="3" s="1"/>
  <c r="AQ30" i="3" s="1"/>
  <c r="AG27" i="3"/>
  <c r="T28" i="3"/>
  <c r="AH28" i="3" s="1"/>
  <c r="G27" i="3"/>
  <c r="G28" i="3" s="1"/>
  <c r="U28" i="3" s="1"/>
  <c r="AI28" i="3" s="1"/>
  <c r="H27" i="3"/>
  <c r="H28" i="3" s="1"/>
  <c r="V28" i="3" s="1"/>
  <c r="AJ28" i="3" s="1"/>
  <c r="I27" i="3"/>
  <c r="I28" i="3" s="1"/>
  <c r="W28" i="3" s="1"/>
  <c r="AK28" i="3" s="1"/>
  <c r="J27" i="3"/>
  <c r="J28" i="3" s="1"/>
  <c r="X28" i="3" s="1"/>
  <c r="AL28" i="3" s="1"/>
  <c r="K27" i="3"/>
  <c r="K28" i="3" s="1"/>
  <c r="Y28" i="3" s="1"/>
  <c r="AM28" i="3" s="1"/>
  <c r="L27" i="3"/>
  <c r="L28" i="3" s="1"/>
  <c r="Z28" i="3" s="1"/>
  <c r="AN28" i="3" s="1"/>
  <c r="M27" i="3"/>
  <c r="M28" i="3" s="1"/>
  <c r="AA28" i="3" s="1"/>
  <c r="AO28" i="3" s="1"/>
  <c r="N27" i="3"/>
  <c r="N28" i="3" s="1"/>
  <c r="AB28" i="3" s="1"/>
  <c r="AP28" i="3" s="1"/>
  <c r="O27" i="3"/>
  <c r="O28" i="3" s="1"/>
  <c r="AC28" i="3" s="1"/>
  <c r="AQ28" i="3" s="1"/>
  <c r="AF27" i="3"/>
  <c r="U25" i="3"/>
  <c r="AI25" i="3" s="1"/>
  <c r="H25" i="3"/>
  <c r="V25" i="3" s="1"/>
  <c r="AJ25" i="3" s="1"/>
  <c r="I25" i="3"/>
  <c r="W25" i="3" s="1"/>
  <c r="AK25" i="3" s="1"/>
  <c r="J25" i="3"/>
  <c r="X25" i="3" s="1"/>
  <c r="AL25" i="3" s="1"/>
  <c r="K25" i="3"/>
  <c r="Y25" i="3" s="1"/>
  <c r="AM25" i="3" s="1"/>
  <c r="L25" i="3"/>
  <c r="Z25" i="3" s="1"/>
  <c r="AN25" i="3" s="1"/>
  <c r="M25" i="3"/>
  <c r="AA25" i="3" s="1"/>
  <c r="AO25" i="3" s="1"/>
  <c r="N25" i="3"/>
  <c r="AB25" i="3" s="1"/>
  <c r="AP25" i="3" s="1"/>
  <c r="O25" i="3"/>
  <c r="AC25" i="3" s="1"/>
  <c r="AQ25" i="3" s="1"/>
  <c r="AF25" i="3"/>
  <c r="X30" i="5" l="1"/>
  <c r="T29" i="5"/>
  <c r="Y29" i="5" s="1"/>
  <c r="Y23" i="5"/>
  <c r="Z23" i="5" s="1"/>
  <c r="AA23" i="5" s="1"/>
  <c r="X16" i="5"/>
  <c r="Z36" i="5"/>
  <c r="AA36" i="5" s="1"/>
  <c r="Z22" i="5"/>
  <c r="AA22" i="5" s="1"/>
  <c r="T15" i="5"/>
  <c r="Y15" i="5" s="1"/>
  <c r="Z15" i="5" s="1"/>
  <c r="AA15" i="5" s="1"/>
  <c r="AF22" i="2"/>
  <c r="AN22" i="2"/>
  <c r="AR22" i="2"/>
  <c r="AM22" i="2"/>
  <c r="AQ22" i="2"/>
  <c r="AJ22" i="2"/>
  <c r="AK22" i="2"/>
  <c r="AO22" i="2"/>
  <c r="AS22" i="2"/>
  <c r="AU22" i="2"/>
  <c r="AL22" i="2"/>
  <c r="AP22" i="2"/>
  <c r="AT22" i="2"/>
  <c r="AL13" i="2"/>
  <c r="AM13" i="2" s="1"/>
  <c r="AH24" i="3"/>
  <c r="AM27" i="3"/>
  <c r="AD36" i="3"/>
  <c r="AH27" i="3"/>
  <c r="AP27" i="3"/>
  <c r="AN27" i="3"/>
  <c r="AO27" i="3"/>
  <c r="AL27" i="3"/>
  <c r="AK27" i="3"/>
  <c r="AG36" i="3"/>
  <c r="AR36" i="3" s="1"/>
  <c r="AJ27" i="3"/>
  <c r="AQ27" i="3"/>
  <c r="AI27" i="3"/>
  <c r="AH8" i="2"/>
  <c r="Y30" i="5" l="1"/>
  <c r="Z30" i="5" s="1"/>
  <c r="AA30" i="5" s="1"/>
  <c r="Z29" i="5"/>
  <c r="AA29" i="5" s="1"/>
  <c r="Z14" i="5"/>
  <c r="AA14" i="5" s="1"/>
  <c r="Y16" i="5"/>
  <c r="Z16" i="5" s="1"/>
  <c r="AA16" i="5" s="1"/>
  <c r="AV22" i="2"/>
  <c r="AN13" i="2"/>
  <c r="G18" i="2"/>
  <c r="O18" i="2"/>
  <c r="O19" i="2"/>
  <c r="O20" i="2"/>
  <c r="O21" i="2"/>
  <c r="AT7" i="2"/>
  <c r="H21" i="2"/>
  <c r="AM7" i="2"/>
  <c r="H18" i="2"/>
  <c r="H20" i="2"/>
  <c r="H19" i="2"/>
  <c r="AR23" i="3"/>
  <c r="AD23" i="3"/>
  <c r="P23" i="3"/>
  <c r="P25" i="3"/>
  <c r="P27" i="3"/>
  <c r="P29" i="3"/>
  <c r="P34" i="3"/>
  <c r="P35" i="3"/>
  <c r="D33" i="4" s="1"/>
  <c r="E30" i="3"/>
  <c r="S30" i="3" s="1"/>
  <c r="AG30" i="3" s="1"/>
  <c r="D30" i="3"/>
  <c r="R30" i="3" s="1"/>
  <c r="AF30" i="3" s="1"/>
  <c r="S28" i="3"/>
  <c r="AG28" i="3" s="1"/>
  <c r="R28" i="3"/>
  <c r="AF28" i="3" s="1"/>
  <c r="AO13" i="2" l="1"/>
  <c r="G19" i="2"/>
  <c r="AL7" i="2"/>
  <c r="G20" i="2"/>
  <c r="G21" i="2"/>
  <c r="F20" i="2"/>
  <c r="F18" i="2"/>
  <c r="F21" i="2"/>
  <c r="AK7" i="2"/>
  <c r="F19" i="2"/>
  <c r="AN7" i="2"/>
  <c r="I18" i="2"/>
  <c r="I19" i="2"/>
  <c r="I20" i="2"/>
  <c r="I21" i="2"/>
  <c r="AO7" i="2"/>
  <c r="J18" i="2"/>
  <c r="J19" i="2"/>
  <c r="J20" i="2"/>
  <c r="J21" i="2"/>
  <c r="L18" i="2"/>
  <c r="L19" i="2"/>
  <c r="L20" i="2"/>
  <c r="L21" i="2"/>
  <c r="AQ7" i="2"/>
  <c r="P18" i="2"/>
  <c r="P19" i="2"/>
  <c r="P20" i="2"/>
  <c r="P21" i="2"/>
  <c r="AU7" i="2"/>
  <c r="T7" i="2"/>
  <c r="AJ7" i="2" s="1"/>
  <c r="E18" i="2"/>
  <c r="E21" i="2"/>
  <c r="E19" i="2"/>
  <c r="E20" i="2"/>
  <c r="K21" i="2"/>
  <c r="AP7" i="2"/>
  <c r="K19" i="2"/>
  <c r="K18" i="2"/>
  <c r="K20" i="2"/>
  <c r="N18" i="2"/>
  <c r="N19" i="2"/>
  <c r="N20" i="2"/>
  <c r="N21" i="2"/>
  <c r="AS7" i="2"/>
  <c r="M18" i="2"/>
  <c r="M19" i="2"/>
  <c r="M20" i="2"/>
  <c r="M21" i="2"/>
  <c r="AR7" i="2"/>
  <c r="AD35" i="3"/>
  <c r="I33" i="4" s="1"/>
  <c r="AD34" i="3"/>
  <c r="AD29" i="3"/>
  <c r="AD27" i="3"/>
  <c r="I25" i="4" s="1"/>
  <c r="AR34" i="3"/>
  <c r="AD26" i="3"/>
  <c r="I24" i="4" s="1"/>
  <c r="AR30" i="3"/>
  <c r="AD30" i="3"/>
  <c r="AR25" i="3"/>
  <c r="M23" i="4" s="1"/>
  <c r="AD28" i="3"/>
  <c r="I26" i="4" s="1"/>
  <c r="AR28" i="3"/>
  <c r="M26" i="4" s="1"/>
  <c r="AD25" i="3"/>
  <c r="I23" i="4" s="1"/>
  <c r="AD24" i="3"/>
  <c r="I22" i="4" s="1"/>
  <c r="AR29" i="3"/>
  <c r="AR35" i="3"/>
  <c r="M33" i="4" s="1"/>
  <c r="AR27" i="3"/>
  <c r="M25" i="4" s="1"/>
  <c r="AR26" i="3"/>
  <c r="M24" i="4" s="1"/>
  <c r="AR24" i="3"/>
  <c r="M22" i="4" s="1"/>
  <c r="AR33" i="3"/>
  <c r="AD33" i="3"/>
  <c r="P33" i="3"/>
  <c r="P30" i="3"/>
  <c r="P26" i="3"/>
  <c r="P28" i="3"/>
  <c r="D26" i="4" s="1"/>
  <c r="AH9" i="2"/>
  <c r="AH10" i="2"/>
  <c r="AH11" i="2"/>
  <c r="S19" i="2"/>
  <c r="AH19" i="2" s="1"/>
  <c r="S20" i="2"/>
  <c r="AH20" i="2" s="1"/>
  <c r="S21" i="2"/>
  <c r="AH21" i="2" s="1"/>
  <c r="S18" i="2"/>
  <c r="AH18" i="2" s="1"/>
  <c r="B19" i="2"/>
  <c r="B20" i="2"/>
  <c r="AP13" i="2" l="1"/>
  <c r="U7" i="5"/>
  <c r="U6" i="5"/>
  <c r="U5" i="5"/>
  <c r="Q21" i="2"/>
  <c r="V7" i="5" s="1"/>
  <c r="W7" i="5" s="1"/>
  <c r="Q11" i="2"/>
  <c r="C13" i="3"/>
  <c r="AQ13" i="2" l="1"/>
  <c r="AR22" i="3"/>
  <c r="AD22" i="3"/>
  <c r="Q19" i="2"/>
  <c r="V5" i="5" s="1"/>
  <c r="W5" i="5" s="1"/>
  <c r="Q20" i="2"/>
  <c r="V6" i="5" s="1"/>
  <c r="W6" i="5" s="1"/>
  <c r="P24" i="3"/>
  <c r="S16" i="2"/>
  <c r="AR13" i="2" l="1"/>
  <c r="Q18" i="2"/>
  <c r="Q10" i="2"/>
  <c r="Q9" i="2"/>
  <c r="F44" i="4"/>
  <c r="G44" i="4"/>
  <c r="H44" i="4"/>
  <c r="K44" i="4"/>
  <c r="L44" i="4"/>
  <c r="P22" i="3"/>
  <c r="D20" i="4" s="1"/>
  <c r="A20" i="4"/>
  <c r="AG7" i="3"/>
  <c r="AH7" i="3"/>
  <c r="AI7" i="3"/>
  <c r="AJ7" i="3"/>
  <c r="AK7" i="3"/>
  <c r="AL7" i="3"/>
  <c r="AM7" i="3"/>
  <c r="AN7" i="3"/>
  <c r="AO7" i="3"/>
  <c r="AP7" i="3"/>
  <c r="AQ7" i="3"/>
  <c r="AF7" i="3"/>
  <c r="S7" i="3"/>
  <c r="T7" i="3"/>
  <c r="U7" i="3"/>
  <c r="V7" i="3"/>
  <c r="W7" i="3"/>
  <c r="X7" i="3"/>
  <c r="Y7" i="3"/>
  <c r="Z7" i="3"/>
  <c r="AA7" i="3"/>
  <c r="AB7" i="3"/>
  <c r="AC7" i="3"/>
  <c r="R7" i="3"/>
  <c r="E7" i="3"/>
  <c r="F7" i="3"/>
  <c r="G7" i="3"/>
  <c r="H7" i="3"/>
  <c r="I7" i="3"/>
  <c r="J7" i="3"/>
  <c r="K7" i="3"/>
  <c r="L7" i="3"/>
  <c r="M7" i="3"/>
  <c r="N7" i="3"/>
  <c r="O7" i="3"/>
  <c r="D7" i="3"/>
  <c r="B18" i="2"/>
  <c r="U4" i="5" s="1"/>
  <c r="M41" i="4"/>
  <c r="I20" i="4"/>
  <c r="AD8" i="3"/>
  <c r="AS13" i="2" l="1"/>
  <c r="V4" i="5"/>
  <c r="V8" i="5"/>
  <c r="W4" i="5"/>
  <c r="X7" i="5"/>
  <c r="M20" i="4"/>
  <c r="AT13" i="2" l="1"/>
  <c r="W8" i="5"/>
  <c r="X8" i="5" s="1"/>
  <c r="X6" i="5"/>
  <c r="Q8" i="2"/>
  <c r="AU13" i="2" l="1"/>
  <c r="X4" i="5"/>
  <c r="X5" i="5"/>
  <c r="E25" i="2"/>
  <c r="B38" i="5" l="1"/>
  <c r="B39" i="5" s="1"/>
  <c r="X18" i="2"/>
  <c r="X19" i="2"/>
  <c r="X20" i="2"/>
  <c r="V18" i="2"/>
  <c r="U18" i="2"/>
  <c r="Y18" i="2"/>
  <c r="Y19" i="2"/>
  <c r="Y20" i="2"/>
  <c r="W18" i="2"/>
  <c r="U19" i="2"/>
  <c r="Z18" i="2"/>
  <c r="Z19" i="2"/>
  <c r="Z20" i="2"/>
  <c r="V19" i="2"/>
  <c r="U20" i="2"/>
  <c r="AA18" i="2"/>
  <c r="AA19" i="2"/>
  <c r="W19" i="2"/>
  <c r="V20" i="2"/>
  <c r="T21" i="2"/>
  <c r="W20" i="2"/>
  <c r="T20" i="2"/>
  <c r="T19" i="2"/>
  <c r="T18" i="2"/>
  <c r="AB18" i="2"/>
  <c r="AG8" i="2"/>
  <c r="AH16" i="2"/>
  <c r="S5" i="2"/>
  <c r="AH5" i="2" s="1"/>
  <c r="AC18" i="2" l="1"/>
  <c r="AA20" i="2"/>
  <c r="AB19" i="2"/>
  <c r="I15" i="2"/>
  <c r="F15" i="2"/>
  <c r="L15" i="2"/>
  <c r="P15" i="2"/>
  <c r="G15" i="2"/>
  <c r="N15" i="2"/>
  <c r="K15" i="2"/>
  <c r="AD18" i="2" l="1"/>
  <c r="AC19" i="2"/>
  <c r="AB20" i="2"/>
  <c r="AF8" i="2"/>
  <c r="T15" i="2"/>
  <c r="E15" i="2"/>
  <c r="H15" i="2"/>
  <c r="J15" i="2"/>
  <c r="M15" i="2"/>
  <c r="O15" i="2"/>
  <c r="AE18" i="2" l="1"/>
  <c r="AF18" i="2" s="1"/>
  <c r="AC20" i="2"/>
  <c r="AD19" i="2"/>
  <c r="Q15" i="2"/>
  <c r="AJ18" i="2" l="1"/>
  <c r="AD20" i="2"/>
  <c r="AF10" i="2"/>
  <c r="AE19" i="2"/>
  <c r="AF9" i="2"/>
  <c r="AI16" i="2"/>
  <c r="AK18" i="2" l="1"/>
  <c r="AF19" i="2"/>
  <c r="AJ19" i="2"/>
  <c r="AE20" i="2"/>
  <c r="AW8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E16" i="2"/>
  <c r="AD16" i="2"/>
  <c r="AC16" i="2"/>
  <c r="AB16" i="2"/>
  <c r="AA16" i="2"/>
  <c r="Z16" i="2"/>
  <c r="Y16" i="2"/>
  <c r="X16" i="2"/>
  <c r="W16" i="2"/>
  <c r="V16" i="2"/>
  <c r="U16" i="2"/>
  <c r="T16" i="2"/>
  <c r="E44" i="4"/>
  <c r="C40" i="3"/>
  <c r="P9" i="3"/>
  <c r="P8" i="3"/>
  <c r="AF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AF21" i="2" l="1"/>
  <c r="AJ21" i="2"/>
  <c r="AL18" i="2"/>
  <c r="AJ20" i="2"/>
  <c r="AF20" i="2"/>
  <c r="AK19" i="2"/>
  <c r="H25" i="2"/>
  <c r="C42" i="3"/>
  <c r="C44" i="3" s="1"/>
  <c r="D43" i="3" s="1"/>
  <c r="K25" i="2"/>
  <c r="AM18" i="2" l="1"/>
  <c r="AL19" i="2"/>
  <c r="AK20" i="2"/>
  <c r="N46" i="4"/>
  <c r="J44" i="4"/>
  <c r="J10" i="3"/>
  <c r="G10" i="3"/>
  <c r="L25" i="2"/>
  <c r="M25" i="2"/>
  <c r="P25" i="2"/>
  <c r="G25" i="2"/>
  <c r="J25" i="2"/>
  <c r="I25" i="2"/>
  <c r="O25" i="2"/>
  <c r="D10" i="3"/>
  <c r="N25" i="2"/>
  <c r="J17" i="3" l="1"/>
  <c r="D17" i="3"/>
  <c r="G17" i="3"/>
  <c r="AN18" i="2"/>
  <c r="AM19" i="2"/>
  <c r="AL20" i="2"/>
  <c r="Q25" i="2"/>
  <c r="J13" i="3"/>
  <c r="G13" i="3"/>
  <c r="H10" i="3"/>
  <c r="K10" i="3"/>
  <c r="I10" i="3"/>
  <c r="F10" i="3"/>
  <c r="M10" i="3"/>
  <c r="O10" i="3"/>
  <c r="N10" i="3"/>
  <c r="L10" i="3"/>
  <c r="T25" i="2"/>
  <c r="D13" i="3"/>
  <c r="F25" i="2"/>
  <c r="U15" i="2"/>
  <c r="H17" i="3" l="1"/>
  <c r="I17" i="3"/>
  <c r="K17" i="3"/>
  <c r="L17" i="3"/>
  <c r="N17" i="3"/>
  <c r="O17" i="3"/>
  <c r="M17" i="3"/>
  <c r="F17" i="3"/>
  <c r="AO18" i="2"/>
  <c r="T4" i="5"/>
  <c r="T7" i="5"/>
  <c r="T6" i="5"/>
  <c r="T5" i="5"/>
  <c r="AN19" i="2"/>
  <c r="AM20" i="2"/>
  <c r="N13" i="3"/>
  <c r="I13" i="3"/>
  <c r="O13" i="3"/>
  <c r="K13" i="3"/>
  <c r="M13" i="3"/>
  <c r="H13" i="3"/>
  <c r="L13" i="3"/>
  <c r="F13" i="3"/>
  <c r="R10" i="3"/>
  <c r="E10" i="3"/>
  <c r="P18" i="3" s="1"/>
  <c r="D2" i="3"/>
  <c r="V15" i="2"/>
  <c r="E17" i="3" l="1"/>
  <c r="P17" i="3" s="1"/>
  <c r="AP18" i="2"/>
  <c r="R17" i="3"/>
  <c r="AN20" i="2"/>
  <c r="AO19" i="2"/>
  <c r="P10" i="3"/>
  <c r="D5" i="4" s="1"/>
  <c r="E13" i="3"/>
  <c r="R13" i="3"/>
  <c r="U25" i="2"/>
  <c r="V25" i="2"/>
  <c r="W15" i="2"/>
  <c r="AE15" i="2" l="1"/>
  <c r="AF15" i="2"/>
  <c r="AQ18" i="2"/>
  <c r="AP19" i="2"/>
  <c r="AO20" i="2"/>
  <c r="E2" i="3"/>
  <c r="F2" i="3" s="1"/>
  <c r="G2" i="3" s="1"/>
  <c r="H2" i="3" s="1"/>
  <c r="I2" i="3" s="1"/>
  <c r="J2" i="3" s="1"/>
  <c r="K2" i="3" s="1"/>
  <c r="L3" i="3" s="1"/>
  <c r="R2" i="3"/>
  <c r="E8" i="4"/>
  <c r="C4" i="5" s="1"/>
  <c r="P13" i="3"/>
  <c r="S10" i="3"/>
  <c r="T10" i="3"/>
  <c r="X15" i="2"/>
  <c r="C38" i="5" l="1"/>
  <c r="C39" i="5" s="1"/>
  <c r="AR18" i="2"/>
  <c r="AP20" i="2"/>
  <c r="T17" i="3"/>
  <c r="AQ19" i="2"/>
  <c r="S17" i="3"/>
  <c r="L2" i="3"/>
  <c r="L4" i="3" s="1"/>
  <c r="X25" i="2"/>
  <c r="V10" i="3" s="1"/>
  <c r="D40" i="3"/>
  <c r="S13" i="3"/>
  <c r="W25" i="2"/>
  <c r="T13" i="3"/>
  <c r="Y15" i="2"/>
  <c r="AS18" i="2" l="1"/>
  <c r="AR19" i="2"/>
  <c r="AQ20" i="2"/>
  <c r="V17" i="3"/>
  <c r="M2" i="3"/>
  <c r="N2" i="3" s="1"/>
  <c r="O2" i="3" s="1"/>
  <c r="S2" i="3"/>
  <c r="T2" i="3" s="1"/>
  <c r="V13" i="3"/>
  <c r="U10" i="3"/>
  <c r="Y25" i="2"/>
  <c r="Z15" i="2"/>
  <c r="AT18" i="2" l="1"/>
  <c r="AR20" i="2"/>
  <c r="U17" i="3"/>
  <c r="AS19" i="2"/>
  <c r="Z25" i="2"/>
  <c r="X10" i="3" s="1"/>
  <c r="U13" i="3"/>
  <c r="W10" i="3"/>
  <c r="U3" i="3"/>
  <c r="AA15" i="2"/>
  <c r="AU18" i="2" l="1"/>
  <c r="AV18" i="2" s="1"/>
  <c r="AV8" i="2"/>
  <c r="X17" i="3"/>
  <c r="W17" i="3"/>
  <c r="AT19" i="2"/>
  <c r="AS20" i="2"/>
  <c r="U2" i="3"/>
  <c r="U4" i="3" s="1"/>
  <c r="AA25" i="2"/>
  <c r="Y10" i="3" s="1"/>
  <c r="W13" i="3"/>
  <c r="X13" i="3"/>
  <c r="AB15" i="2"/>
  <c r="AC15" i="2"/>
  <c r="AU19" i="2" l="1"/>
  <c r="AV9" i="2"/>
  <c r="AT20" i="2"/>
  <c r="Y17" i="3"/>
  <c r="V2" i="3"/>
  <c r="W2" i="3" s="1"/>
  <c r="X2" i="3" s="1"/>
  <c r="AB25" i="2"/>
  <c r="Z10" i="3" s="1"/>
  <c r="Y13" i="3"/>
  <c r="AC25" i="2"/>
  <c r="AV11" i="2" l="1"/>
  <c r="AV19" i="2"/>
  <c r="AU20" i="2"/>
  <c r="AV10" i="2"/>
  <c r="Z17" i="3"/>
  <c r="Y2" i="3"/>
  <c r="Z13" i="3"/>
  <c r="AA10" i="3"/>
  <c r="AD15" i="2"/>
  <c r="AV21" i="2" l="1"/>
  <c r="AV20" i="2"/>
  <c r="AV15" i="2"/>
  <c r="AA17" i="3"/>
  <c r="Z2" i="3"/>
  <c r="AA13" i="3"/>
  <c r="D38" i="5" l="1"/>
  <c r="D39" i="5" s="1"/>
  <c r="AA2" i="3"/>
  <c r="AD25" i="2"/>
  <c r="AE25" i="2"/>
  <c r="AB10" i="3" l="1"/>
  <c r="AJ25" i="2"/>
  <c r="AF10" i="3" s="1"/>
  <c r="AK15" i="2"/>
  <c r="AC10" i="3"/>
  <c r="AF25" i="2"/>
  <c r="AC17" i="3" l="1"/>
  <c r="AB17" i="3"/>
  <c r="AF17" i="3"/>
  <c r="AK25" i="2"/>
  <c r="AG10" i="3" s="1"/>
  <c r="AB13" i="3"/>
  <c r="AL15" i="2"/>
  <c r="AC13" i="3"/>
  <c r="AD10" i="3"/>
  <c r="AD17" i="3" l="1"/>
  <c r="AD16" i="3"/>
  <c r="AG17" i="3"/>
  <c r="AB2" i="3"/>
  <c r="AC2" i="3" s="1"/>
  <c r="AF13" i="3"/>
  <c r="AG13" i="3"/>
  <c r="AL25" i="2"/>
  <c r="AH10" i="3" s="1"/>
  <c r="AM15" i="2"/>
  <c r="I5" i="4"/>
  <c r="AD13" i="3"/>
  <c r="AH17" i="3" l="1"/>
  <c r="J8" i="4"/>
  <c r="D4" i="5" s="1"/>
  <c r="AF2" i="3"/>
  <c r="AG2" i="3" s="1"/>
  <c r="AM25" i="2"/>
  <c r="AI10" i="3" s="1"/>
  <c r="AN15" i="2"/>
  <c r="AI17" i="3" l="1"/>
  <c r="AN25" i="2"/>
  <c r="AJ10" i="3" s="1"/>
  <c r="AI13" i="3"/>
  <c r="AH13" i="3"/>
  <c r="AO15" i="2"/>
  <c r="AJ17" i="3" l="1"/>
  <c r="AH2" i="3"/>
  <c r="AI3" i="3" s="1"/>
  <c r="AO25" i="2"/>
  <c r="AK10" i="3" s="1"/>
  <c r="AJ13" i="3"/>
  <c r="AP15" i="2"/>
  <c r="AK17" i="3" l="1"/>
  <c r="AI2" i="3"/>
  <c r="AI4" i="3" s="1"/>
  <c r="AP25" i="2"/>
  <c r="AL10" i="3" s="1"/>
  <c r="AK13" i="3"/>
  <c r="AQ15" i="2"/>
  <c r="AL17" i="3" l="1"/>
  <c r="AJ2" i="3"/>
  <c r="AK2" i="3" s="1"/>
  <c r="AQ25" i="2"/>
  <c r="AM10" i="3" s="1"/>
  <c r="AL13" i="3"/>
  <c r="AR15" i="2"/>
  <c r="AM17" i="3" l="1"/>
  <c r="AR25" i="2"/>
  <c r="AN10" i="3" s="1"/>
  <c r="AL2" i="3"/>
  <c r="AM13" i="3"/>
  <c r="AS15" i="2"/>
  <c r="AN17" i="3" l="1"/>
  <c r="AS25" i="2"/>
  <c r="AO10" i="3" s="1"/>
  <c r="AM2" i="3"/>
  <c r="AN13" i="3"/>
  <c r="AT15" i="2"/>
  <c r="AO17" i="3" l="1"/>
  <c r="AT25" i="2"/>
  <c r="AP10" i="3" s="1"/>
  <c r="AN2" i="3"/>
  <c r="AO13" i="3"/>
  <c r="AU15" i="2"/>
  <c r="AP17" i="3" l="1"/>
  <c r="AO2" i="3"/>
  <c r="AP13" i="3"/>
  <c r="AV25" i="2"/>
  <c r="AU25" i="2"/>
  <c r="AQ10" i="3" s="1"/>
  <c r="AQ17" i="3" l="1"/>
  <c r="AR17" i="3" s="1"/>
  <c r="AR16" i="3"/>
  <c r="AP2" i="3"/>
  <c r="AR10" i="3"/>
  <c r="M5" i="4" s="1"/>
  <c r="N8" i="4" l="1"/>
  <c r="E4" i="5" s="1"/>
  <c r="AQ13" i="3"/>
  <c r="AR13" i="3"/>
  <c r="AQ2" i="3" l="1"/>
  <c r="F4" i="5"/>
  <c r="E16" i="4" l="1"/>
  <c r="J16" i="4"/>
  <c r="J18" i="4" l="1"/>
  <c r="D5" i="5"/>
  <c r="E18" i="4"/>
  <c r="C5" i="5"/>
  <c r="C6" i="5" l="1"/>
  <c r="D6" i="5"/>
  <c r="D7" i="5" l="1"/>
  <c r="C7" i="5"/>
  <c r="I43" i="4"/>
  <c r="I44" i="4" l="1"/>
  <c r="J48" i="4" s="1"/>
  <c r="D8" i="5"/>
  <c r="D9" i="5" s="1"/>
  <c r="D42" i="3"/>
  <c r="D44" i="3" s="1"/>
  <c r="E43" i="3" s="1"/>
  <c r="H40" i="3"/>
  <c r="H42" i="3" s="1"/>
  <c r="F40" i="3"/>
  <c r="F42" i="3" s="1"/>
  <c r="K40" i="3"/>
  <c r="K42" i="3" s="1"/>
  <c r="G40" i="3"/>
  <c r="G42" i="3" s="1"/>
  <c r="M40" i="3"/>
  <c r="M42" i="3" s="1"/>
  <c r="L40" i="3"/>
  <c r="L42" i="3" s="1"/>
  <c r="N40" i="3"/>
  <c r="N42" i="3" s="1"/>
  <c r="I40" i="3"/>
  <c r="I42" i="3" s="1"/>
  <c r="E40" i="3"/>
  <c r="E42" i="3" s="1"/>
  <c r="J40" i="3"/>
  <c r="J42" i="3" s="1"/>
  <c r="O40" i="3"/>
  <c r="O42" i="3" s="1"/>
  <c r="D43" i="4" l="1"/>
  <c r="P40" i="3"/>
  <c r="E44" i="3"/>
  <c r="F43" i="3" s="1"/>
  <c r="F44" i="3" s="1"/>
  <c r="G43" i="3" s="1"/>
  <c r="G44" i="3" s="1"/>
  <c r="H43" i="3" s="1"/>
  <c r="H44" i="3" s="1"/>
  <c r="I43" i="3" s="1"/>
  <c r="I44" i="3" s="1"/>
  <c r="J43" i="3" s="1"/>
  <c r="J44" i="3" s="1"/>
  <c r="K43" i="3" s="1"/>
  <c r="K44" i="3" s="1"/>
  <c r="L43" i="3" s="1"/>
  <c r="L44" i="3" s="1"/>
  <c r="M43" i="3" s="1"/>
  <c r="M44" i="3" s="1"/>
  <c r="N43" i="3" s="1"/>
  <c r="N44" i="3" s="1"/>
  <c r="O43" i="3" s="1"/>
  <c r="O44" i="3" s="1"/>
  <c r="R43" i="3" s="1"/>
  <c r="Y7" i="5" l="1"/>
  <c r="Y6" i="5"/>
  <c r="Y5" i="5"/>
  <c r="Y4" i="5"/>
  <c r="C8" i="5"/>
  <c r="C9" i="5" s="1"/>
  <c r="D44" i="4"/>
  <c r="E48" i="4" s="1"/>
  <c r="X40" i="3"/>
  <c r="X42" i="3" s="1"/>
  <c r="AC40" i="3"/>
  <c r="AC42" i="3" s="1"/>
  <c r="Y40" i="3"/>
  <c r="Y42" i="3" s="1"/>
  <c r="T40" i="3"/>
  <c r="T42" i="3" s="1"/>
  <c r="AB40" i="3"/>
  <c r="AB42" i="3" s="1"/>
  <c r="Z40" i="3"/>
  <c r="Z42" i="3" s="1"/>
  <c r="V40" i="3"/>
  <c r="V42" i="3" s="1"/>
  <c r="AA40" i="3"/>
  <c r="AA42" i="3" s="1"/>
  <c r="R40" i="3"/>
  <c r="R42" i="3" s="1"/>
  <c r="R44" i="3" s="1"/>
  <c r="S43" i="3" s="1"/>
  <c r="U40" i="3"/>
  <c r="U42" i="3" s="1"/>
  <c r="W40" i="3"/>
  <c r="W42" i="3" s="1"/>
  <c r="AD40" i="3"/>
  <c r="S40" i="3"/>
  <c r="S42" i="3" s="1"/>
  <c r="E50" i="4" l="1"/>
  <c r="J50" i="4"/>
  <c r="S44" i="3"/>
  <c r="T43" i="3" s="1"/>
  <c r="T44" i="3" s="1"/>
  <c r="U43" i="3" s="1"/>
  <c r="U44" i="3" s="1"/>
  <c r="V43" i="3" s="1"/>
  <c r="V44" i="3" s="1"/>
  <c r="W43" i="3" s="1"/>
  <c r="W44" i="3" s="1"/>
  <c r="X43" i="3" s="1"/>
  <c r="X44" i="3" s="1"/>
  <c r="Y43" i="3" s="1"/>
  <c r="Y44" i="3" s="1"/>
  <c r="Z43" i="3" s="1"/>
  <c r="Z44" i="3" s="1"/>
  <c r="AA43" i="3" s="1"/>
  <c r="AA44" i="3" s="1"/>
  <c r="AB43" i="3" s="1"/>
  <c r="AB44" i="3" s="1"/>
  <c r="AC43" i="3" s="1"/>
  <c r="AC44" i="3" s="1"/>
  <c r="AF43" i="3" s="1"/>
  <c r="AM40" i="3"/>
  <c r="AM42" i="3" s="1"/>
  <c r="AK40" i="3"/>
  <c r="AK42" i="3" s="1"/>
  <c r="AJ40" i="3"/>
  <c r="AJ42" i="3" s="1"/>
  <c r="AI40" i="3"/>
  <c r="AI42" i="3" s="1"/>
  <c r="AO40" i="3"/>
  <c r="AO42" i="3" s="1"/>
  <c r="AH40" i="3"/>
  <c r="AH42" i="3" s="1"/>
  <c r="AL40" i="3"/>
  <c r="AL42" i="3" s="1"/>
  <c r="AN40" i="3"/>
  <c r="AN42" i="3" s="1"/>
  <c r="M43" i="4"/>
  <c r="AP40" i="3"/>
  <c r="AP42" i="3" s="1"/>
  <c r="AG40" i="3"/>
  <c r="AG42" i="3" s="1"/>
  <c r="AQ40" i="3"/>
  <c r="AQ42" i="3" s="1"/>
  <c r="Z7" i="5" l="1"/>
  <c r="AA7" i="5" s="1"/>
  <c r="Z4" i="5"/>
  <c r="Z5" i="5"/>
  <c r="Z6" i="5"/>
  <c r="E8" i="5"/>
  <c r="F8" i="5" s="1"/>
  <c r="M44" i="4"/>
  <c r="N48" i="4" s="1"/>
  <c r="AJ15" i="2"/>
  <c r="Z8" i="5" l="1"/>
  <c r="AA8" i="5" s="1"/>
  <c r="AA4" i="5"/>
  <c r="AF40" i="3"/>
  <c r="AF42" i="3" s="1"/>
  <c r="AF44" i="3" s="1"/>
  <c r="AG43" i="3" s="1"/>
  <c r="AG44" i="3" s="1"/>
  <c r="AH43" i="3" s="1"/>
  <c r="AH44" i="3" s="1"/>
  <c r="AI43" i="3" s="1"/>
  <c r="AI44" i="3" s="1"/>
  <c r="AJ43" i="3" s="1"/>
  <c r="AJ44" i="3" s="1"/>
  <c r="AK43" i="3" s="1"/>
  <c r="AK44" i="3" s="1"/>
  <c r="AL43" i="3" s="1"/>
  <c r="AL44" i="3" s="1"/>
  <c r="AM43" i="3" s="1"/>
  <c r="AM44" i="3" s="1"/>
  <c r="AN43" i="3" s="1"/>
  <c r="AN44" i="3" s="1"/>
  <c r="AO43" i="3" s="1"/>
  <c r="AO44" i="3" s="1"/>
  <c r="AP43" i="3" s="1"/>
  <c r="AP44" i="3" s="1"/>
  <c r="AQ43" i="3" s="1"/>
  <c r="AQ44" i="3" s="1"/>
  <c r="AR40" i="3" l="1"/>
  <c r="N16" i="4" l="1"/>
  <c r="E5" i="5" s="1"/>
  <c r="N18" i="4" l="1"/>
  <c r="N50" i="4" s="1"/>
  <c r="AC45" i="5" s="1"/>
  <c r="E6" i="5"/>
  <c r="E9" i="5" s="1"/>
  <c r="F5" i="5"/>
  <c r="F6" i="5" s="1"/>
  <c r="F9" i="5" s="1"/>
  <c r="E7" i="5" l="1"/>
  <c r="E10" i="5" l="1"/>
  <c r="D10" i="5"/>
  <c r="C10" i="5" l="1"/>
</calcChain>
</file>

<file path=xl/sharedStrings.xml><?xml version="1.0" encoding="utf-8"?>
<sst xmlns="http://schemas.openxmlformats.org/spreadsheetml/2006/main" count="170" uniqueCount="104">
  <si>
    <t>Total</t>
  </si>
  <si>
    <t>Financial Plan  Annex 1 - Sales Budget for 3 years</t>
  </si>
  <si>
    <t>Category mix</t>
  </si>
  <si>
    <t>Year 1</t>
  </si>
  <si>
    <t>Year 2</t>
  </si>
  <si>
    <t>Year 3</t>
  </si>
  <si>
    <t>Start-up</t>
  </si>
  <si>
    <t>Sales</t>
  </si>
  <si>
    <t>Financial Plan  Annex 2 - Cash-Flow for 3 years</t>
  </si>
  <si>
    <t>CASHFLOW FORECAST IN RESPECT OF THE PERIOD: YEAR 1</t>
  </si>
  <si>
    <t>CASHFLOW FORECAST IN RESPECT OF THE PERIOD: YEAR 2</t>
  </si>
  <si>
    <t>CASHFLOW FORECAST IN RESPECT OF THE PERIOD: YEAR 3</t>
  </si>
  <si>
    <t>Cash In</t>
  </si>
  <si>
    <t>Capital Introduced (Directors)</t>
  </si>
  <si>
    <t>SALES</t>
  </si>
  <si>
    <t>TOTAL RECEIPTS</t>
  </si>
  <si>
    <t>Cost of sales</t>
  </si>
  <si>
    <t>V</t>
  </si>
  <si>
    <t>Overheads</t>
  </si>
  <si>
    <t>TOTAL PAYMENTS</t>
  </si>
  <si>
    <t>Cash flow</t>
  </si>
  <si>
    <t>Opening Balance</t>
  </si>
  <si>
    <t>Closing Balance</t>
  </si>
  <si>
    <t>Financial Plan  Annex 3 - Profit and Loss for 3 years</t>
  </si>
  <si>
    <t>TOTAL SALES</t>
  </si>
  <si>
    <t>Opening Stock</t>
  </si>
  <si>
    <t>Plus Purchases -Labour and Material</t>
  </si>
  <si>
    <t>Less Closing Stock</t>
  </si>
  <si>
    <t>Plus Direct Labour Costs</t>
  </si>
  <si>
    <t>TOTAL DIRECT COSTS</t>
  </si>
  <si>
    <t>GROSS PROFIT</t>
  </si>
  <si>
    <t>Loan Repayment(s) - Interest/investment</t>
  </si>
  <si>
    <t>TOTAL EXPENSES</t>
  </si>
  <si>
    <t>NET PROFIT</t>
  </si>
  <si>
    <t>Gross profit</t>
  </si>
  <si>
    <t>Gross Margin</t>
  </si>
  <si>
    <t>% revenue mix</t>
  </si>
  <si>
    <t>Activity (sales value through website)</t>
  </si>
  <si>
    <t>package to consultation ratio:</t>
  </si>
  <si>
    <t>3 year summary</t>
  </si>
  <si>
    <t>% increase</t>
  </si>
  <si>
    <t>Stock purchases</t>
  </si>
  <si>
    <t>Net profit</t>
  </si>
  <si>
    <t>Net Margin</t>
  </si>
  <si>
    <t>Category summary</t>
  </si>
  <si>
    <t>Income</t>
  </si>
  <si>
    <t>Depreciation</t>
  </si>
  <si>
    <t>Net Profit</t>
  </si>
  <si>
    <t xml:space="preserve">Selling Price </t>
  </si>
  <si>
    <t>Directors' salaries</t>
  </si>
  <si>
    <t>Directors' salaries - on cost 25%</t>
  </si>
  <si>
    <t>Cash in bank</t>
  </si>
  <si>
    <t>Net margin</t>
  </si>
  <si>
    <t>liters</t>
  </si>
  <si>
    <t>Bank fees 1.5%</t>
  </si>
  <si>
    <t>Start-up summary</t>
  </si>
  <si>
    <t>Contingency</t>
  </si>
  <si>
    <t>Growth</t>
  </si>
  <si>
    <t>Seasonality</t>
  </si>
  <si>
    <t>contingency for bad debt, theft, refunds, promotions 5%</t>
  </si>
  <si>
    <t>Premises office (home office)</t>
  </si>
  <si>
    <t>Insurance</t>
  </si>
  <si>
    <t>Support Staff  -administration</t>
  </si>
  <si>
    <t>Support Staff - on cost 25%</t>
  </si>
  <si>
    <t>Travel and subsistence</t>
  </si>
  <si>
    <t>Telephone, broadband and communication</t>
  </si>
  <si>
    <t>Post and stationery, software</t>
  </si>
  <si>
    <t>Sundry expenses</t>
  </si>
  <si>
    <t>Marketing and lead generation, plus events/promosions</t>
  </si>
  <si>
    <t>Professional/legal fees</t>
  </si>
  <si>
    <t>Promotional film</t>
  </si>
  <si>
    <t>Grand Total</t>
  </si>
  <si>
    <t>Financial Services Corporations A</t>
  </si>
  <si>
    <t>Financial Services Corporations B</t>
  </si>
  <si>
    <t>Financial Services Corporations C</t>
  </si>
  <si>
    <t xml:space="preserve"> 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</si>
  <si>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</si>
  <si>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</si>
  <si>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</si>
  <si>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</si>
  <si>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</si>
  <si>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</si>
  <si>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</si>
  <si>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</si>
  <si>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</si>
  <si>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</si>
  <si>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</si>
  <si>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</si>
  <si>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Training and development</t>
  </si>
  <si>
    <t>Countries - upfront royalties</t>
  </si>
  <si>
    <t>Countries - ongoing rights</t>
  </si>
  <si>
    <t>Countries - ongoing payments (per 1k)</t>
  </si>
  <si>
    <t>Game development costs companies 60%</t>
  </si>
  <si>
    <t>Game development costs contries 60%</t>
  </si>
  <si>
    <t>First 3 months</t>
  </si>
  <si>
    <t>Other costs</t>
  </si>
  <si>
    <t>Use of funds</t>
  </si>
  <si>
    <t>Internet/hosting/ game development costs</t>
  </si>
  <si>
    <t>£</t>
  </si>
  <si>
    <t>Recruitment, Training, Team building</t>
  </si>
  <si>
    <t>Financial Services Corporations</t>
  </si>
  <si>
    <t>Countries (Sales rights)</t>
  </si>
  <si>
    <t>Financial Services</t>
  </si>
  <si>
    <t>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</si>
</sst>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£&quot;#,##0;\-&quot;£&quot;#,##0"/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&quot;£&quot;#,##0.0"/>
    <numFmt numFmtId="166" formatCode="0.0%"/>
    <numFmt numFmtId="167" formatCode="_(* #,##0_);_(* \(#,##0\);_(* &quot;-&quot;??_);_(@_)"/>
    <numFmt numFmtId="168" formatCode="&quot;£&quot;#,##0.00"/>
    <numFmt numFmtId="169" formatCode="&quot;£&quot;#,##0"/>
    <numFmt numFmtId="170" formatCode="[$$-409]#,##0_ ;[Red]\-[$$-409]#,##0\ "/>
    <numFmt numFmtId="171" formatCode="#,##0_ ;[Red]\-#,##0\ "/>
    <numFmt numFmtId="172" formatCode="[$$-409]#,##0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Verdana"/>
      <family val="2"/>
    </font>
    <font>
      <b/>
      <u/>
      <sz val="14"/>
      <color indexed="8"/>
      <name val="Calibri"/>
      <family val="2"/>
    </font>
    <font>
      <sz val="11"/>
      <name val="Calibri"/>
      <family val="2"/>
    </font>
    <font>
      <b/>
      <u/>
      <sz val="12"/>
      <color indexed="8"/>
      <name val="Calibri"/>
      <family val="2"/>
    </font>
    <font>
      <b/>
      <u/>
      <sz val="10"/>
      <color indexed="8"/>
      <name val="Calibri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indexed="8"/>
      <name val="Calibri"/>
      <family val="2"/>
    </font>
    <font>
      <b/>
      <i/>
      <sz val="11"/>
      <name val="Calibri"/>
      <family val="2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b/>
      <u/>
      <sz val="11"/>
      <color theme="0"/>
      <name val="Calibri"/>
      <family val="2"/>
    </font>
    <font>
      <b/>
      <u/>
      <sz val="11"/>
      <name val="Calibri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</font>
    <font>
      <u/>
      <sz val="11"/>
      <color theme="10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 style="thick">
        <color rgb="FF4F81BD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241">
    <xf numFmtId="0" fontId="0" fillId="0" borderId="0" xfId="0"/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166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19" fillId="2" borderId="0" xfId="0" applyFont="1" applyFill="1" applyAlignment="1">
      <alignment horizontal="left" indent="1"/>
    </xf>
    <xf numFmtId="0" fontId="0" fillId="2" borderId="0" xfId="0" applyFill="1"/>
    <xf numFmtId="0" fontId="0" fillId="2" borderId="0" xfId="0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9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17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 indent="1"/>
    </xf>
    <xf numFmtId="0" fontId="12" fillId="0" borderId="7" xfId="0" applyFont="1" applyBorder="1" applyAlignment="1">
      <alignment horizontal="left" vertical="center" wrapText="1" indent="1"/>
    </xf>
    <xf numFmtId="0" fontId="13" fillId="0" borderId="7" xfId="0" applyFont="1" applyBorder="1" applyAlignment="1">
      <alignment horizontal="left" vertical="center" wrapText="1" indent="1"/>
    </xf>
    <xf numFmtId="9" fontId="14" fillId="0" borderId="9" xfId="2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 indent="2"/>
    </xf>
    <xf numFmtId="9" fontId="20" fillId="0" borderId="11" xfId="0" applyNumberFormat="1" applyFont="1" applyBorder="1" applyAlignment="1">
      <alignment horizontal="left" vertical="center" wrapText="1" indent="2"/>
    </xf>
    <xf numFmtId="3" fontId="1" fillId="0" borderId="11" xfId="1" applyNumberFormat="1" applyFont="1" applyFill="1" applyBorder="1" applyAlignment="1">
      <alignment vertical="center" wrapText="1"/>
    </xf>
    <xf numFmtId="3" fontId="0" fillId="0" borderId="4" xfId="0" applyNumberFormat="1" applyBorder="1"/>
    <xf numFmtId="0" fontId="3" fillId="2" borderId="3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 vertical="center"/>
    </xf>
    <xf numFmtId="167" fontId="0" fillId="0" borderId="8" xfId="0" applyNumberFormat="1" applyBorder="1" applyAlignment="1">
      <alignment vertical="center" wrapText="1"/>
    </xf>
    <xf numFmtId="167" fontId="0" fillId="0" borderId="9" xfId="0" applyNumberFormat="1" applyBorder="1" applyAlignment="1">
      <alignment vertical="center" wrapText="1"/>
    </xf>
    <xf numFmtId="0" fontId="0" fillId="0" borderId="2" xfId="0" applyBorder="1" applyAlignment="1">
      <alignment horizontal="left" vertical="center" wrapText="1" indent="2"/>
    </xf>
    <xf numFmtId="0" fontId="0" fillId="0" borderId="3" xfId="0" applyBorder="1" applyAlignment="1">
      <alignment horizontal="left" vertical="center" wrapText="1" indent="2"/>
    </xf>
    <xf numFmtId="9" fontId="0" fillId="0" borderId="3" xfId="0" applyNumberFormat="1" applyBorder="1" applyAlignment="1">
      <alignment horizontal="left" vertical="center" wrapText="1" indent="2"/>
    </xf>
    <xf numFmtId="0" fontId="0" fillId="0" borderId="10" xfId="0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9" fontId="15" fillId="2" borderId="14" xfId="2" applyFont="1" applyFill="1" applyBorder="1"/>
    <xf numFmtId="9" fontId="20" fillId="0" borderId="4" xfId="0" applyNumberFormat="1" applyFont="1" applyBorder="1" applyAlignment="1">
      <alignment horizontal="left" vertical="center" wrapText="1" indent="2"/>
    </xf>
    <xf numFmtId="3" fontId="1" fillId="0" borderId="5" xfId="1" applyNumberFormat="1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167" fontId="1" fillId="2" borderId="0" xfId="1" applyNumberFormat="1" applyFont="1" applyFill="1"/>
    <xf numFmtId="169" fontId="10" fillId="2" borderId="0" xfId="0" applyNumberFormat="1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22" fillId="2" borderId="0" xfId="0" applyFont="1" applyFill="1" applyAlignment="1">
      <alignment vertical="top" wrapText="1"/>
    </xf>
    <xf numFmtId="0" fontId="10" fillId="3" borderId="0" xfId="0" applyFont="1" applyFill="1" applyAlignment="1">
      <alignment vertical="top" wrapText="1"/>
    </xf>
    <xf numFmtId="0" fontId="1" fillId="0" borderId="13" xfId="0" applyFont="1" applyBorder="1" applyAlignment="1">
      <alignment vertical="top" wrapText="1"/>
    </xf>
    <xf numFmtId="169" fontId="1" fillId="2" borderId="0" xfId="0" applyNumberFormat="1" applyFont="1" applyFill="1" applyAlignment="1">
      <alignment vertical="top" wrapText="1"/>
    </xf>
    <xf numFmtId="169" fontId="22" fillId="2" borderId="0" xfId="0" applyNumberFormat="1" applyFont="1" applyFill="1" applyAlignment="1">
      <alignment vertical="top" wrapText="1"/>
    </xf>
    <xf numFmtId="170" fontId="1" fillId="2" borderId="0" xfId="0" applyNumberFormat="1" applyFont="1" applyFill="1" applyAlignment="1">
      <alignment vertical="top" wrapText="1"/>
    </xf>
    <xf numFmtId="169" fontId="16" fillId="2" borderId="0" xfId="0" applyNumberFormat="1" applyFont="1" applyFill="1"/>
    <xf numFmtId="169" fontId="22" fillId="0" borderId="0" xfId="0" applyNumberFormat="1" applyFont="1" applyAlignment="1">
      <alignment vertical="top" wrapText="1"/>
    </xf>
    <xf numFmtId="0" fontId="5" fillId="2" borderId="0" xfId="0" applyFont="1" applyFill="1" applyAlignment="1">
      <alignment horizontal="left" vertical="center"/>
    </xf>
    <xf numFmtId="0" fontId="20" fillId="2" borderId="0" xfId="0" applyFont="1" applyFill="1" applyAlignment="1">
      <alignment wrapText="1"/>
    </xf>
    <xf numFmtId="165" fontId="7" fillId="2" borderId="0" xfId="0" applyNumberFormat="1" applyFont="1" applyFill="1" applyAlignment="1">
      <alignment horizontal="right" wrapText="1"/>
    </xf>
    <xf numFmtId="0" fontId="3" fillId="0" borderId="2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1" fontId="14" fillId="0" borderId="19" xfId="2" applyNumberFormat="1" applyFont="1" applyFill="1" applyBorder="1" applyAlignment="1">
      <alignment horizontal="center" vertical="center" wrapText="1"/>
    </xf>
    <xf numFmtId="41" fontId="0" fillId="0" borderId="20" xfId="0" applyNumberFormat="1" applyBorder="1" applyAlignment="1">
      <alignment vertical="center" wrapText="1"/>
    </xf>
    <xf numFmtId="165" fontId="0" fillId="2" borderId="0" xfId="0" applyNumberFormat="1" applyFill="1" applyAlignment="1">
      <alignment wrapText="1"/>
    </xf>
    <xf numFmtId="0" fontId="25" fillId="0" borderId="0" xfId="0" applyFont="1"/>
    <xf numFmtId="43" fontId="26" fillId="0" borderId="0" xfId="1" applyFont="1" applyFill="1"/>
    <xf numFmtId="169" fontId="18" fillId="2" borderId="0" xfId="0" applyNumberFormat="1" applyFont="1" applyFill="1"/>
    <xf numFmtId="0" fontId="21" fillId="0" borderId="24" xfId="0" applyFont="1" applyBorder="1"/>
    <xf numFmtId="164" fontId="25" fillId="0" borderId="0" xfId="0" applyNumberFormat="1" applyFont="1"/>
    <xf numFmtId="167" fontId="25" fillId="0" borderId="0" xfId="0" applyNumberFormat="1" applyFont="1"/>
    <xf numFmtId="9" fontId="0" fillId="3" borderId="10" xfId="0" applyNumberFormat="1" applyFill="1" applyBorder="1" applyAlignment="1">
      <alignment horizontal="center"/>
    </xf>
    <xf numFmtId="3" fontId="0" fillId="0" borderId="12" xfId="0" applyNumberFormat="1" applyBorder="1"/>
    <xf numFmtId="0" fontId="17" fillId="0" borderId="11" xfId="0" applyFont="1" applyBorder="1" applyAlignment="1">
      <alignment horizontal="left" vertical="center" wrapText="1" indent="2"/>
    </xf>
    <xf numFmtId="1" fontId="14" fillId="0" borderId="26" xfId="2" applyNumberFormat="1" applyFont="1" applyFill="1" applyBorder="1" applyAlignment="1">
      <alignment horizontal="center" vertical="center" wrapText="1"/>
    </xf>
    <xf numFmtId="3" fontId="1" fillId="0" borderId="12" xfId="1" applyNumberFormat="1" applyFont="1" applyFill="1" applyBorder="1" applyAlignment="1">
      <alignment vertical="center" wrapText="1"/>
    </xf>
    <xf numFmtId="0" fontId="16" fillId="2" borderId="0" xfId="0" applyFont="1" applyFill="1" applyAlignment="1">
      <alignment wrapText="1"/>
    </xf>
    <xf numFmtId="167" fontId="0" fillId="2" borderId="0" xfId="0" applyNumberFormat="1" applyFill="1"/>
    <xf numFmtId="0" fontId="29" fillId="0" borderId="0" xfId="0" applyFont="1" applyAlignment="1">
      <alignment vertical="center" wrapText="1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right" vertical="center"/>
    </xf>
    <xf numFmtId="3" fontId="20" fillId="3" borderId="0" xfId="0" applyNumberFormat="1" applyFont="1" applyFill="1" applyAlignment="1">
      <alignment wrapText="1"/>
    </xf>
    <xf numFmtId="0" fontId="28" fillId="4" borderId="21" xfId="0" applyFont="1" applyFill="1" applyBorder="1" applyAlignment="1">
      <alignment vertical="center" wrapText="1"/>
    </xf>
    <xf numFmtId="0" fontId="28" fillId="0" borderId="21" xfId="0" applyFont="1" applyBorder="1" applyAlignment="1">
      <alignment vertical="center" wrapText="1"/>
    </xf>
    <xf numFmtId="0" fontId="12" fillId="0" borderId="28" xfId="0" applyFont="1" applyBorder="1" applyAlignment="1">
      <alignment horizontal="left" vertical="center" wrapText="1" indent="1"/>
    </xf>
    <xf numFmtId="9" fontId="20" fillId="3" borderId="11" xfId="0" applyNumberFormat="1" applyFont="1" applyFill="1" applyBorder="1" applyAlignment="1">
      <alignment horizontal="center"/>
    </xf>
    <xf numFmtId="43" fontId="20" fillId="2" borderId="0" xfId="0" applyNumberFormat="1" applyFont="1" applyFill="1" applyAlignment="1">
      <alignment wrapText="1"/>
    </xf>
    <xf numFmtId="3" fontId="0" fillId="0" borderId="10" xfId="0" applyNumberFormat="1" applyBorder="1"/>
    <xf numFmtId="3" fontId="0" fillId="2" borderId="0" xfId="0" applyNumberFormat="1" applyFill="1" applyAlignment="1">
      <alignment wrapText="1"/>
    </xf>
    <xf numFmtId="3" fontId="6" fillId="3" borderId="0" xfId="0" applyNumberFormat="1" applyFont="1" applyFill="1" applyAlignment="1">
      <alignment horizontal="right" vertical="center"/>
    </xf>
    <xf numFmtId="169" fontId="24" fillId="4" borderId="27" xfId="0" applyNumberFormat="1" applyFont="1" applyFill="1" applyBorder="1" applyAlignment="1">
      <alignment horizontal="left" vertical="center" wrapText="1"/>
    </xf>
    <xf numFmtId="169" fontId="20" fillId="0" borderId="27" xfId="0" applyNumberFormat="1" applyFont="1" applyBorder="1" applyAlignment="1">
      <alignment horizontal="left" vertical="center" wrapText="1"/>
    </xf>
    <xf numFmtId="9" fontId="24" fillId="5" borderId="27" xfId="0" applyNumberFormat="1" applyFont="1" applyFill="1" applyBorder="1" applyAlignment="1">
      <alignment horizontal="left" vertical="center" wrapText="1"/>
    </xf>
    <xf numFmtId="6" fontId="20" fillId="2" borderId="27" xfId="0" applyNumberFormat="1" applyFont="1" applyFill="1" applyBorder="1" applyAlignment="1">
      <alignment horizontal="left" vertical="center" wrapText="1"/>
    </xf>
    <xf numFmtId="43" fontId="1" fillId="2" borderId="0" xfId="1" applyFont="1" applyFill="1"/>
    <xf numFmtId="43" fontId="26" fillId="2" borderId="0" xfId="1" applyFont="1" applyFill="1"/>
    <xf numFmtId="0" fontId="25" fillId="2" borderId="0" xfId="0" applyFont="1" applyFill="1"/>
    <xf numFmtId="168" fontId="0" fillId="2" borderId="0" xfId="0" applyNumberFormat="1" applyFill="1" applyAlignment="1">
      <alignment wrapText="1"/>
    </xf>
    <xf numFmtId="41" fontId="1" fillId="2" borderId="0" xfId="1" applyNumberFormat="1" applyFont="1" applyFill="1"/>
    <xf numFmtId="0" fontId="31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left" indent="1"/>
    </xf>
    <xf numFmtId="0" fontId="11" fillId="2" borderId="0" xfId="0" applyFont="1" applyFill="1" applyAlignment="1">
      <alignment horizontal="left" indent="1"/>
    </xf>
    <xf numFmtId="0" fontId="11" fillId="2" borderId="0" xfId="0" applyFont="1" applyFill="1" applyAlignment="1">
      <alignment horizontal="center"/>
    </xf>
    <xf numFmtId="0" fontId="21" fillId="0" borderId="30" xfId="0" applyFont="1" applyBorder="1"/>
    <xf numFmtId="9" fontId="15" fillId="2" borderId="31" xfId="2" applyFont="1" applyFill="1" applyBorder="1"/>
    <xf numFmtId="3" fontId="1" fillId="0" borderId="31" xfId="1" applyNumberFormat="1" applyFont="1" applyFill="1" applyBorder="1" applyAlignment="1">
      <alignment vertical="center" wrapText="1"/>
    </xf>
    <xf numFmtId="3" fontId="0" fillId="0" borderId="32" xfId="0" applyNumberFormat="1" applyBorder="1"/>
    <xf numFmtId="1" fontId="1" fillId="0" borderId="32" xfId="1" applyNumberFormat="1" applyFont="1" applyFill="1" applyBorder="1" applyAlignment="1">
      <alignment vertical="center" wrapText="1"/>
    </xf>
    <xf numFmtId="3" fontId="1" fillId="0" borderId="25" xfId="1" applyNumberFormat="1" applyFont="1" applyFill="1" applyBorder="1" applyAlignment="1">
      <alignment vertical="center" wrapText="1"/>
    </xf>
    <xf numFmtId="3" fontId="0" fillId="0" borderId="0" xfId="0" applyNumberFormat="1" applyAlignment="1">
      <alignment wrapText="1"/>
    </xf>
    <xf numFmtId="3" fontId="0" fillId="0" borderId="5" xfId="0" applyNumberFormat="1" applyBorder="1"/>
    <xf numFmtId="3" fontId="0" fillId="0" borderId="0" xfId="0" applyNumberFormat="1"/>
    <xf numFmtId="17" fontId="0" fillId="2" borderId="0" xfId="0" applyNumberFormat="1" applyFill="1" applyAlignment="1">
      <alignment wrapText="1"/>
    </xf>
    <xf numFmtId="169" fontId="10" fillId="0" borderId="0" xfId="0" applyNumberFormat="1" applyFont="1" applyAlignment="1">
      <alignment vertical="top" wrapText="1"/>
    </xf>
    <xf numFmtId="169" fontId="5" fillId="2" borderId="0" xfId="0" applyNumberFormat="1" applyFont="1" applyFill="1" applyAlignment="1">
      <alignment horizontal="left" vertical="center"/>
    </xf>
    <xf numFmtId="169" fontId="10" fillId="2" borderId="15" xfId="0" applyNumberFormat="1" applyFont="1" applyFill="1" applyBorder="1"/>
    <xf numFmtId="169" fontId="10" fillId="0" borderId="16" xfId="0" applyNumberFormat="1" applyFont="1" applyBorder="1" applyAlignment="1">
      <alignment horizontal="center"/>
    </xf>
    <xf numFmtId="169" fontId="10" fillId="0" borderId="16" xfId="0" applyNumberFormat="1" applyFont="1" applyBorder="1"/>
    <xf numFmtId="169" fontId="6" fillId="0" borderId="16" xfId="0" applyNumberFormat="1" applyFont="1" applyBorder="1"/>
    <xf numFmtId="169" fontId="10" fillId="0" borderId="17" xfId="0" applyNumberFormat="1" applyFont="1" applyBorder="1" applyAlignment="1">
      <alignment horizontal="center"/>
    </xf>
    <xf numFmtId="169" fontId="11" fillId="0" borderId="17" xfId="0" applyNumberFormat="1" applyFont="1" applyBorder="1"/>
    <xf numFmtId="169" fontId="10" fillId="0" borderId="13" xfId="0" applyNumberFormat="1" applyFont="1" applyBorder="1" applyAlignment="1">
      <alignment horizontal="center"/>
    </xf>
    <xf numFmtId="169" fontId="6" fillId="2" borderId="18" xfId="0" applyNumberFormat="1" applyFont="1" applyFill="1" applyBorder="1"/>
    <xf numFmtId="169" fontId="11" fillId="0" borderId="13" xfId="0" applyNumberFormat="1" applyFont="1" applyBorder="1"/>
    <xf numFmtId="169" fontId="6" fillId="0" borderId="13" xfId="0" applyNumberFormat="1" applyFont="1" applyBorder="1"/>
    <xf numFmtId="169" fontId="6" fillId="0" borderId="0" xfId="0" applyNumberFormat="1" applyFont="1" applyAlignment="1">
      <alignment vertical="top" wrapText="1"/>
    </xf>
    <xf numFmtId="169" fontId="0" fillId="0" borderId="0" xfId="0" applyNumberFormat="1"/>
    <xf numFmtId="169" fontId="0" fillId="0" borderId="0" xfId="0" applyNumberFormat="1" applyAlignment="1">
      <alignment wrapText="1"/>
    </xf>
    <xf numFmtId="9" fontId="0" fillId="3" borderId="11" xfId="0" applyNumberFormat="1" applyFill="1" applyBorder="1" applyAlignment="1">
      <alignment horizontal="center"/>
    </xf>
    <xf numFmtId="0" fontId="20" fillId="2" borderId="0" xfId="0" applyFont="1" applyFill="1"/>
    <xf numFmtId="2" fontId="16" fillId="2" borderId="0" xfId="0" applyNumberFormat="1" applyFont="1" applyFill="1"/>
    <xf numFmtId="9" fontId="20" fillId="2" borderId="0" xfId="0" applyNumberFormat="1" applyFont="1" applyFill="1"/>
    <xf numFmtId="9" fontId="16" fillId="2" borderId="0" xfId="0" applyNumberFormat="1" applyFont="1" applyFill="1"/>
    <xf numFmtId="0" fontId="20" fillId="3" borderId="0" xfId="0" applyFont="1" applyFill="1"/>
    <xf numFmtId="0" fontId="16" fillId="2" borderId="0" xfId="0" applyFont="1" applyFill="1"/>
    <xf numFmtId="10" fontId="0" fillId="2" borderId="0" xfId="0" applyNumberFormat="1" applyFill="1"/>
    <xf numFmtId="168" fontId="0" fillId="0" borderId="0" xfId="0" applyNumberFormat="1"/>
    <xf numFmtId="1" fontId="1" fillId="0" borderId="11" xfId="1" applyNumberFormat="1" applyFont="1" applyFill="1" applyBorder="1" applyAlignment="1">
      <alignment vertical="center" wrapText="1"/>
    </xf>
    <xf numFmtId="10" fontId="0" fillId="0" borderId="0" xfId="0" applyNumberFormat="1"/>
    <xf numFmtId="10" fontId="0" fillId="0" borderId="0" xfId="0" applyNumberFormat="1" applyAlignment="1">
      <alignment wrapText="1"/>
    </xf>
    <xf numFmtId="166" fontId="0" fillId="0" borderId="0" xfId="0" applyNumberFormat="1"/>
    <xf numFmtId="4" fontId="0" fillId="2" borderId="0" xfId="0" applyNumberFormat="1" applyFill="1"/>
    <xf numFmtId="1" fontId="0" fillId="0" borderId="0" xfId="0" applyNumberFormat="1"/>
    <xf numFmtId="169" fontId="6" fillId="0" borderId="13" xfId="0" applyNumberFormat="1" applyFont="1" applyBorder="1" applyAlignment="1">
      <alignment horizontal="left"/>
    </xf>
    <xf numFmtId="17" fontId="10" fillId="0" borderId="16" xfId="0" applyNumberFormat="1" applyFont="1" applyBorder="1"/>
    <xf numFmtId="17" fontId="10" fillId="0" borderId="16" xfId="0" applyNumberFormat="1" applyFont="1" applyBorder="1" applyAlignment="1">
      <alignment horizontal="center"/>
    </xf>
    <xf numFmtId="169" fontId="10" fillId="0" borderId="0" xfId="0" applyNumberFormat="1" applyFont="1" applyAlignment="1">
      <alignment horizontal="center"/>
    </xf>
    <xf numFmtId="9" fontId="20" fillId="5" borderId="27" xfId="0" applyNumberFormat="1" applyFont="1" applyFill="1" applyBorder="1" applyAlignment="1">
      <alignment horizontal="left" vertical="center" wrapText="1"/>
    </xf>
    <xf numFmtId="9" fontId="20" fillId="2" borderId="27" xfId="0" applyNumberFormat="1" applyFont="1" applyFill="1" applyBorder="1" applyAlignment="1">
      <alignment horizontal="left" vertical="center" wrapText="1"/>
    </xf>
    <xf numFmtId="0" fontId="6" fillId="2" borderId="13" xfId="0" applyFont="1" applyFill="1" applyBorder="1"/>
    <xf numFmtId="166" fontId="20" fillId="2" borderId="27" xfId="0" applyNumberFormat="1" applyFont="1" applyFill="1" applyBorder="1" applyAlignment="1">
      <alignment horizontal="right" vertical="center" wrapText="1"/>
    </xf>
    <xf numFmtId="166" fontId="20" fillId="5" borderId="27" xfId="0" applyNumberFormat="1" applyFont="1" applyFill="1" applyBorder="1" applyAlignment="1">
      <alignment horizontal="right" vertical="center" wrapText="1"/>
    </xf>
    <xf numFmtId="0" fontId="0" fillId="6" borderId="0" xfId="0" applyFill="1"/>
    <xf numFmtId="167" fontId="0" fillId="0" borderId="7" xfId="0" applyNumberFormat="1" applyBorder="1" applyAlignment="1">
      <alignment vertical="center" wrapText="1"/>
    </xf>
    <xf numFmtId="0" fontId="28" fillId="0" borderId="27" xfId="0" applyFont="1" applyBorder="1" applyAlignment="1">
      <alignment vertical="center" wrapText="1"/>
    </xf>
    <xf numFmtId="0" fontId="28" fillId="4" borderId="27" xfId="0" applyFont="1" applyFill="1" applyBorder="1" applyAlignment="1">
      <alignment vertical="center" wrapText="1"/>
    </xf>
    <xf numFmtId="169" fontId="28" fillId="4" borderId="27" xfId="0" applyNumberFormat="1" applyFont="1" applyFill="1" applyBorder="1" applyAlignment="1">
      <alignment vertical="center" wrapText="1"/>
    </xf>
    <xf numFmtId="169" fontId="28" fillId="0" borderId="27" xfId="0" applyNumberFormat="1" applyFont="1" applyBorder="1" applyAlignment="1">
      <alignment vertical="center" wrapText="1"/>
    </xf>
    <xf numFmtId="0" fontId="34" fillId="0" borderId="27" xfId="3" applyBorder="1"/>
    <xf numFmtId="169" fontId="28" fillId="0" borderId="27" xfId="0" applyNumberFormat="1" applyFont="1" applyBorder="1" applyAlignment="1">
      <alignment horizontal="right" vertical="center" wrapText="1"/>
    </xf>
    <xf numFmtId="6" fontId="0" fillId="0" borderId="0" xfId="0" applyNumberFormat="1"/>
    <xf numFmtId="0" fontId="36" fillId="4" borderId="27" xfId="0" applyFont="1" applyFill="1" applyBorder="1" applyAlignment="1">
      <alignment vertical="center"/>
    </xf>
    <xf numFmtId="6" fontId="36" fillId="4" borderId="27" xfId="0" applyNumberFormat="1" applyFont="1" applyFill="1" applyBorder="1" applyAlignment="1">
      <alignment horizontal="right" vertical="center"/>
    </xf>
    <xf numFmtId="0" fontId="36" fillId="2" borderId="27" xfId="0" applyFont="1" applyFill="1" applyBorder="1" applyAlignment="1">
      <alignment vertical="center"/>
    </xf>
    <xf numFmtId="6" fontId="36" fillId="2" borderId="27" xfId="0" applyNumberFormat="1" applyFont="1" applyFill="1" applyBorder="1" applyAlignment="1">
      <alignment horizontal="right" vertical="center"/>
    </xf>
    <xf numFmtId="10" fontId="0" fillId="2" borderId="27" xfId="0" applyNumberFormat="1" applyFill="1" applyBorder="1"/>
    <xf numFmtId="10" fontId="0" fillId="5" borderId="27" xfId="0" applyNumberFormat="1" applyFill="1" applyBorder="1"/>
    <xf numFmtId="41" fontId="36" fillId="4" borderId="27" xfId="0" applyNumberFormat="1" applyFont="1" applyFill="1" applyBorder="1" applyAlignment="1">
      <alignment horizontal="right" vertical="center"/>
    </xf>
    <xf numFmtId="41" fontId="36" fillId="2" borderId="27" xfId="0" applyNumberFormat="1" applyFont="1" applyFill="1" applyBorder="1" applyAlignment="1">
      <alignment horizontal="right" vertical="center"/>
    </xf>
    <xf numFmtId="166" fontId="36" fillId="4" borderId="27" xfId="0" applyNumberFormat="1" applyFont="1" applyFill="1" applyBorder="1" applyAlignment="1">
      <alignment horizontal="right" vertical="center"/>
    </xf>
    <xf numFmtId="166" fontId="36" fillId="2" borderId="27" xfId="0" applyNumberFormat="1" applyFont="1" applyFill="1" applyBorder="1" applyAlignment="1">
      <alignment horizontal="right" vertical="center"/>
    </xf>
    <xf numFmtId="0" fontId="35" fillId="7" borderId="22" xfId="0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36" fillId="7" borderId="22" xfId="0" applyFont="1" applyFill="1" applyBorder="1" applyAlignment="1">
      <alignment vertical="center"/>
    </xf>
    <xf numFmtId="0" fontId="36" fillId="7" borderId="21" xfId="0" applyFont="1" applyFill="1" applyBorder="1" applyAlignment="1">
      <alignment vertical="center"/>
    </xf>
    <xf numFmtId="3" fontId="36" fillId="4" borderId="27" xfId="0" applyNumberFormat="1" applyFont="1" applyFill="1" applyBorder="1" applyAlignment="1">
      <alignment vertical="center"/>
    </xf>
    <xf numFmtId="3" fontId="36" fillId="2" borderId="27" xfId="0" applyNumberFormat="1" applyFont="1" applyFill="1" applyBorder="1" applyAlignment="1">
      <alignment vertical="center"/>
    </xf>
    <xf numFmtId="3" fontId="36" fillId="4" borderId="27" xfId="0" applyNumberFormat="1" applyFont="1" applyFill="1" applyBorder="1" applyAlignment="1">
      <alignment horizontal="right" vertical="center"/>
    </xf>
    <xf numFmtId="171" fontId="36" fillId="4" borderId="27" xfId="0" applyNumberFormat="1" applyFont="1" applyFill="1" applyBorder="1" applyAlignment="1">
      <alignment horizontal="right" vertical="center"/>
    </xf>
    <xf numFmtId="171" fontId="36" fillId="2" borderId="27" xfId="0" applyNumberFormat="1" applyFont="1" applyFill="1" applyBorder="1" applyAlignment="1">
      <alignment horizontal="right" vertical="center"/>
    </xf>
    <xf numFmtId="3" fontId="36" fillId="2" borderId="27" xfId="0" applyNumberFormat="1" applyFont="1" applyFill="1" applyBorder="1" applyAlignment="1">
      <alignment horizontal="right" vertical="center"/>
    </xf>
    <xf numFmtId="3" fontId="36" fillId="5" borderId="27" xfId="0" applyNumberFormat="1" applyFont="1" applyFill="1" applyBorder="1" applyAlignment="1">
      <alignment horizontal="right" vertical="center"/>
    </xf>
    <xf numFmtId="3" fontId="0" fillId="2" borderId="27" xfId="0" applyNumberFormat="1" applyFill="1" applyBorder="1"/>
    <xf numFmtId="0" fontId="20" fillId="6" borderId="0" xfId="0" applyFont="1" applyFill="1"/>
    <xf numFmtId="41" fontId="0" fillId="0" borderId="0" xfId="0" applyNumberFormat="1"/>
    <xf numFmtId="5" fontId="36" fillId="4" borderId="27" xfId="0" applyNumberFormat="1" applyFont="1" applyFill="1" applyBorder="1" applyAlignment="1">
      <alignment horizontal="right" vertical="center"/>
    </xf>
    <xf numFmtId="5" fontId="36" fillId="2" borderId="27" xfId="0" applyNumberFormat="1" applyFont="1" applyFill="1" applyBorder="1" applyAlignment="1">
      <alignment horizontal="right" vertical="center"/>
    </xf>
    <xf numFmtId="10" fontId="0" fillId="3" borderId="11" xfId="0" applyNumberFormat="1" applyFill="1" applyBorder="1" applyAlignment="1">
      <alignment vertical="center" wrapText="1"/>
    </xf>
    <xf numFmtId="9" fontId="0" fillId="3" borderId="10" xfId="0" applyNumberFormat="1" applyFill="1" applyBorder="1" applyAlignment="1">
      <alignment horizontal="center" vertical="center" wrapText="1"/>
    </xf>
    <xf numFmtId="10" fontId="0" fillId="3" borderId="10" xfId="0" applyNumberFormat="1" applyFill="1" applyBorder="1" applyAlignment="1">
      <alignment horizontal="right" vertical="center" wrapText="1"/>
    </xf>
    <xf numFmtId="0" fontId="0" fillId="3" borderId="0" xfId="0" applyFill="1"/>
    <xf numFmtId="172" fontId="6" fillId="2" borderId="0" xfId="0" applyNumberFormat="1" applyFont="1" applyFill="1" applyAlignment="1">
      <alignment vertical="top" wrapText="1"/>
    </xf>
    <xf numFmtId="172" fontId="1" fillId="2" borderId="0" xfId="0" applyNumberFormat="1" applyFont="1" applyFill="1" applyAlignment="1">
      <alignment vertical="top" wrapText="1"/>
    </xf>
    <xf numFmtId="9" fontId="0" fillId="3" borderId="7" xfId="0" applyNumberFormat="1" applyFill="1" applyBorder="1" applyAlignment="1">
      <alignment horizontal="center" vertical="center" wrapText="1"/>
    </xf>
    <xf numFmtId="169" fontId="10" fillId="0" borderId="16" xfId="0" applyNumberFormat="1" applyFont="1" applyBorder="1" applyAlignment="1">
      <alignment horizontal="right"/>
    </xf>
    <xf numFmtId="169" fontId="10" fillId="0" borderId="17" xfId="0" applyNumberFormat="1" applyFont="1" applyBorder="1" applyAlignment="1">
      <alignment horizontal="right"/>
    </xf>
    <xf numFmtId="169" fontId="10" fillId="0" borderId="13" xfId="0" applyNumberFormat="1" applyFont="1" applyBorder="1" applyAlignment="1">
      <alignment horizontal="right"/>
    </xf>
    <xf numFmtId="169" fontId="10" fillId="0" borderId="18" xfId="0" applyNumberFormat="1" applyFont="1" applyBorder="1" applyAlignment="1">
      <alignment horizontal="right"/>
    </xf>
    <xf numFmtId="169" fontId="10" fillId="0" borderId="29" xfId="0" applyNumberFormat="1" applyFont="1" applyBorder="1" applyAlignment="1">
      <alignment horizontal="right"/>
    </xf>
    <xf numFmtId="169" fontId="6" fillId="0" borderId="13" xfId="0" applyNumberFormat="1" applyFont="1" applyBorder="1" applyAlignment="1">
      <alignment horizontal="right"/>
    </xf>
    <xf numFmtId="169" fontId="10" fillId="2" borderId="13" xfId="0" applyNumberFormat="1" applyFont="1" applyFill="1" applyBorder="1" applyAlignment="1">
      <alignment horizontal="right"/>
    </xf>
    <xf numFmtId="169" fontId="6" fillId="2" borderId="0" xfId="0" applyNumberFormat="1" applyFont="1" applyFill="1" applyAlignment="1">
      <alignment vertical="top" wrapText="1"/>
    </xf>
    <xf numFmtId="169" fontId="0" fillId="0" borderId="8" xfId="0" applyNumberFormat="1" applyBorder="1" applyAlignment="1">
      <alignment vertical="center" wrapText="1"/>
    </xf>
    <xf numFmtId="169" fontId="0" fillId="0" borderId="9" xfId="0" applyNumberFormat="1" applyBorder="1" applyAlignment="1">
      <alignment vertical="center" wrapText="1"/>
    </xf>
    <xf numFmtId="169" fontId="10" fillId="2" borderId="0" xfId="0" applyNumberFormat="1" applyFont="1" applyFill="1" applyAlignment="1">
      <alignment horizontal="center" vertical="center"/>
    </xf>
    <xf numFmtId="169" fontId="0" fillId="0" borderId="4" xfId="0" applyNumberFormat="1" applyBorder="1"/>
    <xf numFmtId="169" fontId="0" fillId="0" borderId="5" xfId="0" applyNumberFormat="1" applyBorder="1"/>
    <xf numFmtId="169" fontId="0" fillId="2" borderId="0" xfId="0" applyNumberFormat="1" applyFill="1"/>
    <xf numFmtId="169" fontId="9" fillId="2" borderId="0" xfId="0" applyNumberFormat="1" applyFont="1" applyFill="1" applyAlignment="1">
      <alignment horizontal="center" vertical="center"/>
    </xf>
    <xf numFmtId="169" fontId="0" fillId="0" borderId="20" xfId="0" applyNumberFormat="1" applyBorder="1" applyAlignment="1">
      <alignment vertical="center" wrapText="1"/>
    </xf>
    <xf numFmtId="169" fontId="20" fillId="2" borderId="0" xfId="0" applyNumberFormat="1" applyFont="1" applyFill="1" applyAlignment="1">
      <alignment wrapText="1"/>
    </xf>
    <xf numFmtId="169" fontId="0" fillId="0" borderId="13" xfId="0" applyNumberFormat="1" applyBorder="1"/>
    <xf numFmtId="169" fontId="1" fillId="0" borderId="13" xfId="0" applyNumberFormat="1" applyFont="1" applyBorder="1" applyAlignment="1">
      <alignment vertical="top" wrapText="1"/>
    </xf>
    <xf numFmtId="169" fontId="23" fillId="0" borderId="13" xfId="0" applyNumberFormat="1" applyFont="1" applyBorder="1" applyAlignment="1">
      <alignment vertical="top" wrapText="1"/>
    </xf>
    <xf numFmtId="169" fontId="23" fillId="2" borderId="0" xfId="0" applyNumberFormat="1" applyFont="1" applyFill="1" applyAlignment="1">
      <alignment vertical="top" wrapText="1"/>
    </xf>
    <xf numFmtId="169" fontId="6" fillId="0" borderId="13" xfId="0" applyNumberFormat="1" applyFont="1" applyBorder="1" applyAlignment="1">
      <alignment vertical="top" wrapText="1"/>
    </xf>
    <xf numFmtId="169" fontId="1" fillId="0" borderId="0" xfId="0" applyNumberFormat="1" applyFont="1" applyAlignment="1">
      <alignment vertical="top" wrapText="1"/>
    </xf>
    <xf numFmtId="169" fontId="23" fillId="0" borderId="0" xfId="0" applyNumberFormat="1" applyFont="1" applyAlignment="1">
      <alignment vertical="top" wrapText="1"/>
    </xf>
    <xf numFmtId="169" fontId="28" fillId="4" borderId="21" xfId="0" applyNumberFormat="1" applyFont="1" applyFill="1" applyBorder="1" applyAlignment="1">
      <alignment vertical="center" wrapText="1"/>
    </xf>
    <xf numFmtId="169" fontId="28" fillId="0" borderId="21" xfId="0" applyNumberFormat="1" applyFont="1" applyBorder="1" applyAlignment="1">
      <alignment vertical="center" wrapText="1"/>
    </xf>
    <xf numFmtId="169" fontId="24" fillId="4" borderId="27" xfId="0" applyNumberFormat="1" applyFont="1" applyFill="1" applyBorder="1" applyAlignment="1">
      <alignment horizontal="right" vertical="center" wrapText="1"/>
    </xf>
    <xf numFmtId="169" fontId="18" fillId="0" borderId="27" xfId="0" applyNumberFormat="1" applyFont="1" applyBorder="1" applyAlignment="1">
      <alignment horizontal="right" vertical="center" wrapText="1"/>
    </xf>
    <xf numFmtId="169" fontId="24" fillId="5" borderId="27" xfId="0" applyNumberFormat="1" applyFont="1" applyFill="1" applyBorder="1" applyAlignment="1">
      <alignment horizontal="right" vertical="center" wrapText="1"/>
    </xf>
    <xf numFmtId="169" fontId="18" fillId="5" borderId="27" xfId="0" applyNumberFormat="1" applyFont="1" applyFill="1" applyBorder="1" applyAlignment="1">
      <alignment horizontal="right" vertical="center" wrapText="1"/>
    </xf>
    <xf numFmtId="169" fontId="20" fillId="2" borderId="27" xfId="0" applyNumberFormat="1" applyFont="1" applyFill="1" applyBorder="1" applyAlignment="1">
      <alignment horizontal="right" vertical="center" wrapText="1"/>
    </xf>
    <xf numFmtId="169" fontId="0" fillId="3" borderId="11" xfId="0" applyNumberFormat="1" applyFill="1" applyBorder="1" applyAlignment="1">
      <alignment horizontal="center" vertical="center" wrapText="1"/>
    </xf>
    <xf numFmtId="169" fontId="0" fillId="3" borderId="8" xfId="0" applyNumberFormat="1" applyFill="1" applyBorder="1" applyAlignment="1">
      <alignment horizontal="center" vertical="center" wrapText="1"/>
    </xf>
    <xf numFmtId="169" fontId="0" fillId="3" borderId="10" xfId="0" applyNumberFormat="1" applyFill="1" applyBorder="1" applyAlignment="1">
      <alignment horizontal="center" vertical="center" wrapText="1"/>
    </xf>
    <xf numFmtId="169" fontId="0" fillId="3" borderId="7" xfId="0" applyNumberFormat="1" applyFill="1" applyBorder="1" applyAlignment="1">
      <alignment horizontal="center" vertical="center" wrapText="1"/>
    </xf>
    <xf numFmtId="169" fontId="10" fillId="8" borderId="13" xfId="0" applyNumberFormat="1" applyFont="1" applyFill="1" applyBorder="1" applyAlignment="1">
      <alignment horizontal="right"/>
    </xf>
    <xf numFmtId="0" fontId="0" fillId="9" borderId="0" xfId="0" applyFill="1"/>
    <xf numFmtId="9" fontId="0" fillId="3" borderId="33" xfId="0" applyNumberFormat="1" applyFill="1" applyBorder="1" applyAlignment="1">
      <alignment horizontal="center"/>
    </xf>
    <xf numFmtId="169" fontId="36" fillId="4" borderId="27" xfId="0" applyNumberFormat="1" applyFont="1" applyFill="1" applyBorder="1" applyAlignment="1">
      <alignment horizontal="right" vertical="center"/>
    </xf>
    <xf numFmtId="169" fontId="36" fillId="2" borderId="27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horizontal="right" wrapText="1"/>
    </xf>
    <xf numFmtId="169" fontId="5" fillId="2" borderId="0" xfId="0" applyNumberFormat="1" applyFont="1" applyFill="1" applyAlignment="1">
      <alignment horizontal="left" vertical="center"/>
    </xf>
    <xf numFmtId="169" fontId="27" fillId="2" borderId="0" xfId="0" applyNumberFormat="1" applyFont="1" applyFill="1"/>
    <xf numFmtId="0" fontId="5" fillId="0" borderId="0" xfId="0" applyFont="1" applyAlignment="1">
      <alignment horizontal="left" vertical="center"/>
    </xf>
    <xf numFmtId="0" fontId="0" fillId="0" borderId="0" xfId="0"/>
    <xf numFmtId="0" fontId="10" fillId="3" borderId="0" xfId="0" applyFont="1" applyFill="1" applyAlignment="1">
      <alignment vertical="top" wrapText="1"/>
    </xf>
    <xf numFmtId="0" fontId="28" fillId="0" borderId="22" xfId="0" applyFont="1" applyBorder="1" applyAlignment="1">
      <alignment vertical="center" wrapText="1"/>
    </xf>
    <xf numFmtId="0" fontId="28" fillId="0" borderId="23" xfId="0" applyFont="1" applyBorder="1" applyAlignment="1">
      <alignment vertical="center" wrapText="1"/>
    </xf>
    <xf numFmtId="0" fontId="24" fillId="0" borderId="27" xfId="0" applyFont="1" applyBorder="1" applyAlignment="1">
      <alignment vertical="center" wrapText="1"/>
    </xf>
    <xf numFmtId="0" fontId="35" fillId="7" borderId="22" xfId="0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36" fillId="7" borderId="27" xfId="0" applyFont="1" applyFill="1" applyBorder="1" applyAlignment="1">
      <alignment vertical="center"/>
    </xf>
    <xf numFmtId="0" fontId="36" fillId="7" borderId="22" xfId="0" applyFont="1" applyFill="1" applyBorder="1" applyAlignment="1">
      <alignment vertical="center"/>
    </xf>
    <xf numFmtId="0" fontId="36" fillId="7" borderId="21" xfId="0" applyFont="1" applyFill="1" applyBorder="1" applyAlignment="1">
      <alignment vertical="center"/>
    </xf>
    <xf numFmtId="0" fontId="28" fillId="0" borderId="27" xfId="0" applyFont="1" applyBorder="1" applyAlignment="1">
      <alignment vertic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The Price of Life- Income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Tables!$A$34</c:f>
              <c:strCache>
                <c:ptCount val="1"/>
                <c:pt idx="0">
                  <c:v>Financial Services Corporations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Tables!$B$33:$D$33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Tables!$B$34:$D$34</c:f>
              <c:numCache>
                <c:formatCode>"£"#,##0</c:formatCode>
                <c:ptCount val="3"/>
                <c:pt idx="0">
                  <c:v>150000</c:v>
                </c:pt>
                <c:pt idx="1">
                  <c:v>900000</c:v>
                </c:pt>
                <c:pt idx="2">
                  <c:v>1520000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E1-44D5-AF93-C6B9CAFD4DEB}"/>
            </c:ext>
          </c:extLst>
        </c:ser>
        <c:ser>
          <c:idx val="1"/>
          <c:order val="1"/>
          <c:tx>
            <c:strRef>
              <c:f>Tables!$A$35</c:f>
              <c:strCache>
                <c:ptCount val="1"/>
                <c:pt idx="0">
                  <c:v>Countries (Sales rights)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Tables!$B$33:$D$33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Tables!$B$35:$D$35</c:f>
              <c:numCache>
                <c:formatCode>"£"#,##0</c:formatCode>
                <c:ptCount val="3"/>
                <c:pt idx="0">
                  <c:v>752000</c:v>
                </c:pt>
                <c:pt idx="1">
                  <c:v>5736000</c:v>
                </c:pt>
                <c:pt idx="2">
                  <c:v>13128000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E1-44D5-AF93-C6B9CAFD4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5995216"/>
        <c:axId val="1555995696"/>
      </c:barChart>
      <c:catAx>
        <c:axId val="155599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5995696"/>
        <c:crosses val="autoZero"/>
        <c:auto val="1"/>
        <c:lblAlgn val="ctr"/>
        <c:lblOffset val="100"/>
        <c:noMultiLvlLbl val="0"/>
      </c:catAx>
      <c:valAx>
        <c:axId val="155599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599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Use of funds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Tables!$Q$29</c:f>
              <c:strCache>
                <c:ptCount val="1"/>
                <c:pt idx="0">
                  <c:v>£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49-482F-AF75-EC0FABC88D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49-482F-AF75-EC0FABC88D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49-482F-AF75-EC0FABC88D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Tables!$P$30:$P$32</c:f>
              <c:strCache>
                <c:ptCount val="3"/>
                <c:pt idx="0">
                  <c:v>Recruitment, Training, Team building</c:v>
                </c:pt>
                <c:pt idx="1">
                  <c:v>Internet/hosting/ game development costs</c:v>
                </c:pt>
                <c:pt idx="2">
                  <c:v>Marketing and lead generation, plus events/promosions</c:v>
                </c:pt>
              </c:strCache>
            </c:strRef>
          </c:cat>
          <c:val>
            <c:numRef>
              <c:f>Tables!$Q$30:$Q$32</c:f>
              <c:numCache>
                <c:formatCode>"£"#,##0</c:formatCode>
                <c:ptCount val="3"/>
                <c:pt idx="0">
                  <c:v>88000</c:v>
                </c:pt>
                <c:pt idx="1">
                  <c:v>88000</c:v>
                </c:pt>
                <c:pt idx="2">
                  <c:v>44000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E-45D8-A7D7-7A5A5FCB1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832070</xdr:colOff>
      <xdr:row>20</xdr:row>
      <xdr:rowOff>80287</xdr:rowOff>
    </xdr:from>
    <xdr:to>
      <xdr:col>10</xdr:col>
      <xdr:colOff>262760</xdr:colOff>
      <xdr:row>37</xdr:row>
      <xdr:rowOff>182472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ED1501-3E21-3D33-0282-325808E1A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27735</xdr:colOff>
      <xdr:row>23</xdr:row>
      <xdr:rowOff>11531</xdr:rowOff>
    </xdr:from>
    <xdr:to>
      <xdr:col>17</xdr:col>
      <xdr:colOff>1919597</xdr:colOff>
      <xdr:row>37</xdr:row>
      <xdr:rowOff>94885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C3914C-B3E9-0D31-0A80-9C7E65BA6C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72"/>
  <sheetViews>
    <sheetView view="pageBreakPreview" topLeftCell="C2" zoomScaleNormal="100" zoomScaleSheetLayoutView="100" workbookViewId="0">
      <selection activeCell="H2" sqref="H2"/>
    </sheetView>
  </sheetViews>
  <sheetFormatPr defaultRowHeight="14.4" x14ac:dyDescent="0.3"/>
  <cols>
    <col min="1" max="1" width="3.44140625" customWidth="1"/>
    <col min="2" max="2" width="56.21875" customWidth="1"/>
    <col min="3" max="3" width="21.77734375" customWidth="1"/>
    <col min="4" max="4" width="7" hidden="1" customWidth="1"/>
    <col min="5" max="7" width="12.77734375" bestFit="1" customWidth="1"/>
    <col min="8" max="12" width="14.44140625" bestFit="1" customWidth="1"/>
    <col min="13" max="13" width="18.77734375" bestFit="1" customWidth="1"/>
    <col min="14" max="14" width="14.44140625" bestFit="1" customWidth="1"/>
    <col min="15" max="15" width="22" bestFit="1" customWidth="1"/>
    <col min="16" max="16" width="14.44140625" bestFit="1" customWidth="1"/>
    <col min="17" max="17" width="15.21875" bestFit="1" customWidth="1"/>
    <col min="18" max="18" width="13.21875" customWidth="1"/>
    <col min="19" max="19" width="18.21875" customWidth="1"/>
    <col min="20" max="20" width="10.5546875" bestFit="1" customWidth="1"/>
    <col min="21" max="33" width="13.21875" customWidth="1"/>
    <col min="34" max="34" width="24.21875" customWidth="1"/>
    <col min="35" max="35" width="16.21875" hidden="1" customWidth="1"/>
    <col min="36" max="47" width="13.21875" customWidth="1"/>
    <col min="48" max="48" width="12.5546875" customWidth="1"/>
    <col min="49" max="53" width="13.21875" customWidth="1"/>
    <col min="55" max="55" width="5" bestFit="1" customWidth="1"/>
  </cols>
  <sheetData>
    <row r="1" spans="1:55" ht="18" x14ac:dyDescent="0.3">
      <c r="A1" s="7"/>
      <c r="B1" s="49" t="s">
        <v>1</v>
      </c>
      <c r="C1" s="49"/>
      <c r="D1" s="49"/>
      <c r="E1" s="133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36"/>
      <c r="AX1" s="1"/>
      <c r="AY1" s="1"/>
      <c r="AZ1" s="2"/>
      <c r="BB1" s="2"/>
      <c r="BC1" s="2"/>
    </row>
    <row r="2" spans="1:55" ht="18" x14ac:dyDescent="0.3">
      <c r="A2" s="7"/>
      <c r="B2" s="49"/>
      <c r="C2" s="49"/>
      <c r="D2" s="49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2"/>
      <c r="R2" s="121"/>
      <c r="S2" s="49"/>
      <c r="T2" s="123"/>
      <c r="U2" s="123"/>
      <c r="V2" s="123"/>
      <c r="W2" s="123"/>
      <c r="X2" s="123"/>
      <c r="Y2" s="123"/>
      <c r="Z2" s="123"/>
      <c r="AA2" s="123"/>
      <c r="AB2" s="123"/>
      <c r="AC2" s="124"/>
      <c r="AD2" s="124"/>
      <c r="AE2" s="123" t="s">
        <v>40</v>
      </c>
      <c r="AF2" s="125"/>
      <c r="AG2" s="126"/>
      <c r="AH2" s="49"/>
      <c r="AI2" s="49"/>
      <c r="AJ2" s="121"/>
      <c r="AK2" s="121"/>
      <c r="AL2" s="121"/>
      <c r="AM2" s="121"/>
      <c r="AN2" s="121"/>
      <c r="AO2" s="121"/>
      <c r="AP2" s="121"/>
      <c r="AQ2" s="121"/>
      <c r="AR2" s="121"/>
      <c r="AS2" s="122"/>
      <c r="AT2" s="126"/>
      <c r="AU2" s="123" t="s">
        <v>40</v>
      </c>
      <c r="AV2" s="125"/>
      <c r="AW2" s="68"/>
      <c r="AX2" s="1"/>
      <c r="AY2" s="1"/>
      <c r="AZ2" s="2"/>
      <c r="BB2" s="2"/>
      <c r="BC2" s="2"/>
    </row>
    <row r="3" spans="1:55" ht="18" x14ac:dyDescent="0.35">
      <c r="A3" s="7"/>
      <c r="B3" s="51"/>
      <c r="C3" s="51"/>
      <c r="D3" s="56"/>
      <c r="E3" s="56"/>
      <c r="F3" s="56"/>
      <c r="G3" s="56"/>
      <c r="H3" s="56"/>
      <c r="I3" s="3"/>
      <c r="J3" s="4"/>
      <c r="K3" s="4"/>
      <c r="L3" s="5"/>
      <c r="M3" s="6"/>
      <c r="N3" s="92"/>
      <c r="O3" s="94"/>
      <c r="P3" s="93"/>
      <c r="Q3" s="93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226" t="s">
        <v>38</v>
      </c>
      <c r="AD3" s="226"/>
      <c r="AE3" s="226"/>
      <c r="AF3" s="68">
        <v>1.8</v>
      </c>
      <c r="AG3" s="68"/>
      <c r="AH3" s="6"/>
      <c r="AI3" s="6"/>
      <c r="AJ3" s="50"/>
      <c r="AK3" s="50"/>
      <c r="AL3" s="50"/>
      <c r="AM3" s="50"/>
      <c r="AN3" s="50"/>
      <c r="AO3" s="50"/>
      <c r="AP3" s="50"/>
      <c r="AQ3" s="50"/>
      <c r="AR3" s="50"/>
      <c r="AS3" s="226" t="s">
        <v>38</v>
      </c>
      <c r="AT3" s="226"/>
      <c r="AU3" s="226"/>
      <c r="AV3" s="68">
        <v>1.6</v>
      </c>
      <c r="AW3" s="68"/>
      <c r="AZ3" s="2"/>
      <c r="BB3" s="2"/>
      <c r="BC3" s="2"/>
    </row>
    <row r="4" spans="1:55" ht="18" x14ac:dyDescent="0.35">
      <c r="A4" s="7"/>
      <c r="B4" s="7"/>
      <c r="C4" s="7"/>
      <c r="D4" s="7"/>
      <c r="E4" s="7"/>
      <c r="F4" s="8"/>
      <c r="G4" s="8"/>
      <c r="H4" s="8"/>
      <c r="I4" s="9"/>
      <c r="J4" s="9"/>
      <c r="K4" s="9"/>
      <c r="L4" s="9"/>
      <c r="M4" s="10"/>
      <c r="N4" s="71"/>
      <c r="O4" s="91"/>
      <c r="P4" s="72" t="s">
        <v>3</v>
      </c>
      <c r="Q4" s="81"/>
      <c r="R4" s="6"/>
      <c r="S4" s="7"/>
      <c r="T4" s="7"/>
      <c r="U4" s="10"/>
      <c r="V4" s="10"/>
      <c r="W4" s="10"/>
      <c r="X4" s="10"/>
      <c r="Y4" s="10"/>
      <c r="Z4" s="10"/>
      <c r="AA4" s="10"/>
      <c r="AB4" s="10"/>
      <c r="AC4" s="68"/>
      <c r="AD4" s="68"/>
      <c r="AE4" s="50" t="s">
        <v>4</v>
      </c>
      <c r="AF4" s="73"/>
      <c r="AG4" s="68"/>
      <c r="AH4" s="7"/>
      <c r="AI4" s="10"/>
      <c r="AJ4" s="50"/>
      <c r="AK4" s="50"/>
      <c r="AL4" s="50"/>
      <c r="AM4" s="50"/>
      <c r="AN4" s="50"/>
      <c r="AO4" s="50"/>
      <c r="AP4" s="50"/>
      <c r="AQ4" s="50"/>
      <c r="AR4" s="50"/>
      <c r="AS4" s="68"/>
      <c r="AT4" s="68"/>
      <c r="AU4" s="50" t="s">
        <v>5</v>
      </c>
      <c r="AV4" s="73"/>
      <c r="AW4" s="68"/>
      <c r="AX4" s="11"/>
      <c r="AY4" s="11"/>
      <c r="AZ4" s="11"/>
      <c r="BA4" s="11"/>
    </row>
    <row r="5" spans="1:55" ht="42" customHeight="1" x14ac:dyDescent="0.35">
      <c r="A5" s="7"/>
      <c r="B5" s="12" t="s">
        <v>37</v>
      </c>
      <c r="C5" s="32" t="s">
        <v>36</v>
      </c>
      <c r="D5" s="13" t="s">
        <v>2</v>
      </c>
      <c r="E5" s="14" t="s">
        <v>76</v>
      </c>
      <c r="F5" s="14" t="s">
        <v>77</v>
      </c>
      <c r="G5" s="14" t="s">
        <v>78</v>
      </c>
      <c r="H5" s="14" t="s">
        <v>79</v>
      </c>
      <c r="I5" s="14" t="s">
        <v>80</v>
      </c>
      <c r="J5" s="14" t="s">
        <v>81</v>
      </c>
      <c r="K5" s="14" t="s">
        <v>82</v>
      </c>
      <c r="L5" s="14" t="s">
        <v>83</v>
      </c>
      <c r="M5" s="14" t="s">
        <v>84</v>
      </c>
      <c r="N5" s="14" t="s">
        <v>85</v>
      </c>
      <c r="O5" s="14" t="s">
        <v>86</v>
      </c>
      <c r="P5" s="14" t="s">
        <v>87</v>
      </c>
      <c r="Q5" s="15" t="s">
        <v>3</v>
      </c>
      <c r="R5" s="6"/>
      <c r="S5" s="52" t="str">
        <f>C5</f>
        <v>% revenue mix</v>
      </c>
      <c r="T5" s="14" t="str">
        <f>E5</f>
        <v>M1</v>
      </c>
      <c r="U5" s="14" t="str">
        <f t="shared" ref="U5:AE5" si="0">F5</f>
        <v>M2</v>
      </c>
      <c r="V5" s="14" t="str">
        <f t="shared" si="0"/>
        <v>M3</v>
      </c>
      <c r="W5" s="14" t="str">
        <f t="shared" si="0"/>
        <v>M4</v>
      </c>
      <c r="X5" s="14" t="str">
        <f t="shared" si="0"/>
        <v>M5</v>
      </c>
      <c r="Y5" s="14" t="str">
        <f t="shared" si="0"/>
        <v>M6</v>
      </c>
      <c r="Z5" s="14" t="str">
        <f t="shared" si="0"/>
        <v>M7</v>
      </c>
      <c r="AA5" s="14" t="str">
        <f t="shared" si="0"/>
        <v>M8</v>
      </c>
      <c r="AB5" s="14" t="str">
        <f t="shared" si="0"/>
        <v>M9</v>
      </c>
      <c r="AC5" s="14" t="str">
        <f t="shared" si="0"/>
        <v>M10</v>
      </c>
      <c r="AD5" s="14" t="str">
        <f t="shared" si="0"/>
        <v>M11</v>
      </c>
      <c r="AE5" s="14" t="str">
        <f t="shared" si="0"/>
        <v>M12</v>
      </c>
      <c r="AF5" s="53" t="s">
        <v>4</v>
      </c>
      <c r="AG5" s="50"/>
      <c r="AH5" s="52" t="str">
        <f>S5</f>
        <v>% revenue mix</v>
      </c>
      <c r="AI5" s="13" t="s">
        <v>2</v>
      </c>
      <c r="AJ5" s="14" t="str">
        <f>T5</f>
        <v>M1</v>
      </c>
      <c r="AK5" s="14" t="str">
        <f t="shared" ref="AK5:AU6" si="1">U5</f>
        <v>M2</v>
      </c>
      <c r="AL5" s="14" t="str">
        <f t="shared" si="1"/>
        <v>M3</v>
      </c>
      <c r="AM5" s="14" t="str">
        <f t="shared" si="1"/>
        <v>M4</v>
      </c>
      <c r="AN5" s="14" t="str">
        <f t="shared" si="1"/>
        <v>M5</v>
      </c>
      <c r="AO5" s="14" t="str">
        <f t="shared" si="1"/>
        <v>M6</v>
      </c>
      <c r="AP5" s="14" t="str">
        <f t="shared" si="1"/>
        <v>M7</v>
      </c>
      <c r="AQ5" s="14" t="str">
        <f t="shared" si="1"/>
        <v>M8</v>
      </c>
      <c r="AR5" s="14" t="str">
        <f t="shared" si="1"/>
        <v>M9</v>
      </c>
      <c r="AS5" s="14" t="str">
        <f t="shared" si="1"/>
        <v>M10</v>
      </c>
      <c r="AT5" s="14" t="str">
        <f t="shared" si="1"/>
        <v>M11</v>
      </c>
      <c r="AU5" s="14" t="str">
        <f t="shared" si="1"/>
        <v>M12</v>
      </c>
      <c r="AV5" s="53" t="s">
        <v>5</v>
      </c>
      <c r="AW5" s="36"/>
    </row>
    <row r="6" spans="1:55" ht="18" x14ac:dyDescent="0.35">
      <c r="A6" s="7"/>
      <c r="B6" s="76" t="s">
        <v>6</v>
      </c>
      <c r="C6" s="17" t="s">
        <v>57</v>
      </c>
      <c r="D6" s="18"/>
      <c r="E6" s="179">
        <v>0.01</v>
      </c>
      <c r="F6" s="179">
        <v>0.01</v>
      </c>
      <c r="G6" s="179">
        <v>0.01</v>
      </c>
      <c r="H6" s="179">
        <v>0.01</v>
      </c>
      <c r="I6" s="179">
        <v>0.01</v>
      </c>
      <c r="J6" s="179">
        <v>0.01</v>
      </c>
      <c r="K6" s="179">
        <v>0.01</v>
      </c>
      <c r="L6" s="179">
        <v>0.01</v>
      </c>
      <c r="M6" s="179">
        <v>0.01</v>
      </c>
      <c r="N6" s="179">
        <v>0.01</v>
      </c>
      <c r="O6" s="179">
        <v>0.01</v>
      </c>
      <c r="P6" s="179">
        <v>0.01</v>
      </c>
      <c r="Q6" s="19"/>
      <c r="R6" s="6"/>
      <c r="S6" s="16"/>
      <c r="T6" s="179">
        <f>E6</f>
        <v>0.01</v>
      </c>
      <c r="U6" s="179">
        <v>0.01</v>
      </c>
      <c r="V6" s="179">
        <v>0.01</v>
      </c>
      <c r="W6" s="179">
        <v>0.01</v>
      </c>
      <c r="X6" s="179">
        <v>0.01</v>
      </c>
      <c r="Y6" s="179">
        <v>0.01</v>
      </c>
      <c r="Z6" s="179">
        <v>0.01</v>
      </c>
      <c r="AA6" s="179">
        <v>0.01</v>
      </c>
      <c r="AB6" s="179">
        <v>0.01</v>
      </c>
      <c r="AC6" s="179">
        <v>0.01</v>
      </c>
      <c r="AD6" s="179">
        <v>0.01</v>
      </c>
      <c r="AE6" s="179">
        <v>0.01</v>
      </c>
      <c r="AF6" s="54"/>
      <c r="AG6" s="68"/>
      <c r="AH6" s="16"/>
      <c r="AI6" s="18"/>
      <c r="AJ6" s="181">
        <f>T6</f>
        <v>0.01</v>
      </c>
      <c r="AK6" s="181">
        <f t="shared" si="1"/>
        <v>0.01</v>
      </c>
      <c r="AL6" s="181">
        <f t="shared" si="1"/>
        <v>0.01</v>
      </c>
      <c r="AM6" s="181">
        <f t="shared" si="1"/>
        <v>0.01</v>
      </c>
      <c r="AN6" s="181">
        <f t="shared" si="1"/>
        <v>0.01</v>
      </c>
      <c r="AO6" s="181">
        <f t="shared" si="1"/>
        <v>0.01</v>
      </c>
      <c r="AP6" s="181">
        <f t="shared" si="1"/>
        <v>0.01</v>
      </c>
      <c r="AQ6" s="181">
        <f t="shared" si="1"/>
        <v>0.01</v>
      </c>
      <c r="AR6" s="181">
        <f t="shared" si="1"/>
        <v>0.01</v>
      </c>
      <c r="AS6" s="181">
        <f t="shared" si="1"/>
        <v>0.01</v>
      </c>
      <c r="AT6" s="181">
        <f t="shared" si="1"/>
        <v>0.01</v>
      </c>
      <c r="AU6" s="181">
        <f t="shared" si="1"/>
        <v>0.01</v>
      </c>
      <c r="AV6" s="66"/>
      <c r="AW6" s="36"/>
    </row>
    <row r="7" spans="1:55" ht="18" x14ac:dyDescent="0.35">
      <c r="A7" s="7"/>
      <c r="B7" s="31"/>
      <c r="C7" s="65" t="s">
        <v>58</v>
      </c>
      <c r="D7" s="65"/>
      <c r="E7" s="179">
        <v>0.01</v>
      </c>
      <c r="F7" s="179">
        <v>0.01</v>
      </c>
      <c r="G7" s="179">
        <v>0.01</v>
      </c>
      <c r="H7" s="179">
        <v>0.01</v>
      </c>
      <c r="I7" s="179">
        <v>0.01</v>
      </c>
      <c r="J7" s="179">
        <v>0.01</v>
      </c>
      <c r="K7" s="179">
        <v>0.01</v>
      </c>
      <c r="L7" s="179">
        <v>0.01</v>
      </c>
      <c r="M7" s="179">
        <v>0.01</v>
      </c>
      <c r="N7" s="179">
        <v>0.01</v>
      </c>
      <c r="O7" s="179">
        <v>0.01</v>
      </c>
      <c r="P7" s="179">
        <v>0.01</v>
      </c>
      <c r="Q7" s="64"/>
      <c r="R7" s="6"/>
      <c r="S7" s="65"/>
      <c r="T7" s="179">
        <f>E7</f>
        <v>0.01</v>
      </c>
      <c r="U7" s="179">
        <v>0.01</v>
      </c>
      <c r="V7" s="179">
        <v>0.01</v>
      </c>
      <c r="W7" s="179">
        <v>0.01</v>
      </c>
      <c r="X7" s="179">
        <v>0.01</v>
      </c>
      <c r="Y7" s="179">
        <v>0.01</v>
      </c>
      <c r="Z7" s="179">
        <v>0.01</v>
      </c>
      <c r="AA7" s="179">
        <v>0.01</v>
      </c>
      <c r="AB7" s="179">
        <v>0.01</v>
      </c>
      <c r="AC7" s="179">
        <v>0.01</v>
      </c>
      <c r="AD7" s="179">
        <v>0.01</v>
      </c>
      <c r="AE7" s="179">
        <v>0.01</v>
      </c>
      <c r="AF7" s="67"/>
      <c r="AG7" s="68">
        <v>1</v>
      </c>
      <c r="AH7" s="20"/>
      <c r="AI7" s="20"/>
      <c r="AJ7" s="181">
        <f>T7</f>
        <v>0.01</v>
      </c>
      <c r="AK7" s="181">
        <f t="shared" ref="AK7:AU7" si="2">U7</f>
        <v>0.01</v>
      </c>
      <c r="AL7" s="181">
        <f t="shared" si="2"/>
        <v>0.01</v>
      </c>
      <c r="AM7" s="181">
        <f t="shared" si="2"/>
        <v>0.01</v>
      </c>
      <c r="AN7" s="181">
        <f t="shared" si="2"/>
        <v>0.01</v>
      </c>
      <c r="AO7" s="181">
        <f t="shared" si="2"/>
        <v>0.01</v>
      </c>
      <c r="AP7" s="181">
        <f t="shared" si="2"/>
        <v>0.01</v>
      </c>
      <c r="AQ7" s="181">
        <f t="shared" si="2"/>
        <v>0.01</v>
      </c>
      <c r="AR7" s="181">
        <f t="shared" si="2"/>
        <v>0.01</v>
      </c>
      <c r="AS7" s="181">
        <f t="shared" si="2"/>
        <v>0.01</v>
      </c>
      <c r="AT7" s="181">
        <f t="shared" si="2"/>
        <v>0.01</v>
      </c>
      <c r="AU7" s="181">
        <f t="shared" si="2"/>
        <v>0.01</v>
      </c>
      <c r="AV7" s="67"/>
      <c r="AW7" s="36"/>
    </row>
    <row r="8" spans="1:55" ht="18" x14ac:dyDescent="0.35">
      <c r="A8" s="7"/>
      <c r="B8" s="79" t="s">
        <v>72</v>
      </c>
      <c r="C8" s="77"/>
      <c r="D8" s="21"/>
      <c r="E8" s="22">
        <v>1</v>
      </c>
      <c r="F8" s="22">
        <v>0</v>
      </c>
      <c r="G8" s="22">
        <v>0</v>
      </c>
      <c r="H8" s="22">
        <v>1</v>
      </c>
      <c r="I8" s="22">
        <v>0</v>
      </c>
      <c r="J8" s="22">
        <v>0</v>
      </c>
      <c r="K8" s="22">
        <v>1</v>
      </c>
      <c r="L8" s="22">
        <v>0</v>
      </c>
      <c r="M8" s="22">
        <v>1</v>
      </c>
      <c r="N8" s="22">
        <v>0</v>
      </c>
      <c r="O8" s="22">
        <v>1</v>
      </c>
      <c r="P8" s="22">
        <v>0</v>
      </c>
      <c r="Q8" s="64">
        <f>SUM(E8:P8)</f>
        <v>5</v>
      </c>
      <c r="R8" s="6"/>
      <c r="S8" s="120"/>
      <c r="T8" s="22">
        <v>1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1</v>
      </c>
      <c r="AB8" s="22">
        <v>1</v>
      </c>
      <c r="AC8" s="22">
        <v>1</v>
      </c>
      <c r="AD8" s="22">
        <v>1</v>
      </c>
      <c r="AE8" s="22">
        <v>0</v>
      </c>
      <c r="AF8" s="67">
        <f>SUM(S8:AE8)</f>
        <v>5</v>
      </c>
      <c r="AG8" s="68">
        <f>AF4*S8</f>
        <v>0</v>
      </c>
      <c r="AH8" s="63">
        <f>S8</f>
        <v>0</v>
      </c>
      <c r="AI8" s="33"/>
      <c r="AJ8" s="22">
        <v>1</v>
      </c>
      <c r="AK8" s="22">
        <v>1</v>
      </c>
      <c r="AL8" s="22">
        <v>1</v>
      </c>
      <c r="AM8" s="22">
        <v>0</v>
      </c>
      <c r="AN8" s="22">
        <v>1</v>
      </c>
      <c r="AO8" s="22">
        <v>0</v>
      </c>
      <c r="AP8" s="22">
        <v>1</v>
      </c>
      <c r="AQ8" s="22">
        <v>0</v>
      </c>
      <c r="AR8" s="22">
        <v>1</v>
      </c>
      <c r="AS8" s="22">
        <v>1</v>
      </c>
      <c r="AT8" s="22">
        <v>1</v>
      </c>
      <c r="AU8" s="22">
        <v>1</v>
      </c>
      <c r="AV8" s="67">
        <f>SUM(AJ8:AU8)</f>
        <v>9</v>
      </c>
      <c r="AW8" s="68">
        <f>AV4*AH8</f>
        <v>0</v>
      </c>
    </row>
    <row r="9" spans="1:55" ht="18" x14ac:dyDescent="0.35">
      <c r="A9" s="7"/>
      <c r="B9" s="79" t="s">
        <v>73</v>
      </c>
      <c r="C9" s="77"/>
      <c r="D9" s="21"/>
      <c r="E9" s="22">
        <v>0</v>
      </c>
      <c r="F9" s="22">
        <v>0</v>
      </c>
      <c r="G9" s="22">
        <v>0</v>
      </c>
      <c r="H9" s="22">
        <v>1</v>
      </c>
      <c r="I9" s="22">
        <v>0</v>
      </c>
      <c r="J9" s="22">
        <v>0</v>
      </c>
      <c r="K9" s="22">
        <v>0</v>
      </c>
      <c r="L9" s="22">
        <v>1</v>
      </c>
      <c r="M9" s="22">
        <v>0</v>
      </c>
      <c r="N9" s="22">
        <v>0</v>
      </c>
      <c r="O9" s="22">
        <v>0</v>
      </c>
      <c r="P9" s="22">
        <v>1</v>
      </c>
      <c r="Q9" s="64">
        <f t="shared" ref="Q9:Q13" si="3">SUM(E9:P9)</f>
        <v>3</v>
      </c>
      <c r="R9" s="6"/>
      <c r="S9" s="120"/>
      <c r="T9" s="22">
        <v>0</v>
      </c>
      <c r="U9" s="22">
        <v>1</v>
      </c>
      <c r="V9" s="22">
        <v>0</v>
      </c>
      <c r="W9" s="22">
        <v>0</v>
      </c>
      <c r="X9" s="22">
        <v>0</v>
      </c>
      <c r="Y9" s="22">
        <v>1</v>
      </c>
      <c r="Z9" s="22">
        <v>0</v>
      </c>
      <c r="AA9" s="22">
        <v>0</v>
      </c>
      <c r="AB9" s="22">
        <v>0</v>
      </c>
      <c r="AC9" s="22">
        <v>1</v>
      </c>
      <c r="AD9" s="22">
        <v>0</v>
      </c>
      <c r="AE9" s="22">
        <v>1</v>
      </c>
      <c r="AF9" s="67">
        <f t="shared" ref="AF9:AF13" si="4">SUM(S9:AE9)</f>
        <v>4</v>
      </c>
      <c r="AG9" s="68"/>
      <c r="AH9" s="63">
        <f t="shared" ref="AH9:AH11" si="5">S9</f>
        <v>0</v>
      </c>
      <c r="AI9" s="33"/>
      <c r="AJ9" s="22">
        <v>0</v>
      </c>
      <c r="AK9" s="22">
        <v>1</v>
      </c>
      <c r="AL9" s="22">
        <v>0</v>
      </c>
      <c r="AM9" s="22">
        <v>1</v>
      </c>
      <c r="AN9" s="22">
        <v>0</v>
      </c>
      <c r="AO9" s="22">
        <v>1</v>
      </c>
      <c r="AP9" s="22">
        <v>0</v>
      </c>
      <c r="AQ9" s="22">
        <v>1</v>
      </c>
      <c r="AR9" s="22">
        <v>0</v>
      </c>
      <c r="AS9" s="22">
        <v>1</v>
      </c>
      <c r="AT9" s="22">
        <v>0</v>
      </c>
      <c r="AU9" s="22">
        <v>1</v>
      </c>
      <c r="AV9" s="67">
        <f t="shared" ref="AV9:AV13" si="6">SUM(AJ9:AU9)</f>
        <v>6</v>
      </c>
      <c r="AW9" s="68"/>
    </row>
    <row r="10" spans="1:55" ht="18" x14ac:dyDescent="0.35">
      <c r="A10" s="7"/>
      <c r="B10" s="79" t="s">
        <v>74</v>
      </c>
      <c r="C10" s="77"/>
      <c r="D10" s="21"/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64">
        <f t="shared" si="3"/>
        <v>0</v>
      </c>
      <c r="R10" s="6"/>
      <c r="S10" s="120"/>
      <c r="T10" s="22">
        <v>0</v>
      </c>
      <c r="U10" s="22">
        <v>0</v>
      </c>
      <c r="V10" s="22">
        <v>0</v>
      </c>
      <c r="W10" s="22">
        <v>1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67">
        <f t="shared" si="4"/>
        <v>1</v>
      </c>
      <c r="AG10" s="68"/>
      <c r="AH10" s="63">
        <f t="shared" si="5"/>
        <v>0</v>
      </c>
      <c r="AI10" s="33"/>
      <c r="AJ10" s="22">
        <v>0</v>
      </c>
      <c r="AK10" s="22">
        <v>0</v>
      </c>
      <c r="AL10" s="22">
        <v>0</v>
      </c>
      <c r="AM10" s="22">
        <v>1</v>
      </c>
      <c r="AN10" s="22">
        <v>0</v>
      </c>
      <c r="AO10" s="22">
        <v>0</v>
      </c>
      <c r="AP10" s="22">
        <v>0</v>
      </c>
      <c r="AQ10" s="22">
        <v>0</v>
      </c>
      <c r="AR10" s="22">
        <v>1</v>
      </c>
      <c r="AS10" s="22">
        <v>0</v>
      </c>
      <c r="AT10" s="22">
        <v>0</v>
      </c>
      <c r="AU10" s="22">
        <v>0</v>
      </c>
      <c r="AV10" s="67">
        <f t="shared" si="6"/>
        <v>2</v>
      </c>
      <c r="AW10" s="68"/>
    </row>
    <row r="11" spans="1:55" ht="18" x14ac:dyDescent="0.35">
      <c r="A11" s="7"/>
      <c r="B11" s="79" t="s">
        <v>89</v>
      </c>
      <c r="C11" s="77" t="s">
        <v>75</v>
      </c>
      <c r="D11" s="77" t="s">
        <v>75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1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64">
        <f t="shared" si="3"/>
        <v>1</v>
      </c>
      <c r="R11" s="6"/>
      <c r="S11" s="120"/>
      <c r="T11" s="22">
        <v>1</v>
      </c>
      <c r="U11" s="22">
        <v>0</v>
      </c>
      <c r="V11" s="22">
        <v>1</v>
      </c>
      <c r="W11" s="22">
        <v>0</v>
      </c>
      <c r="X11" s="22">
        <v>1</v>
      </c>
      <c r="Y11" s="22">
        <v>0</v>
      </c>
      <c r="Z11" s="22">
        <v>1</v>
      </c>
      <c r="AA11" s="22">
        <v>0</v>
      </c>
      <c r="AB11" s="22">
        <v>1</v>
      </c>
      <c r="AC11" s="22">
        <v>0</v>
      </c>
      <c r="AD11" s="22">
        <v>1</v>
      </c>
      <c r="AE11" s="22">
        <v>0</v>
      </c>
      <c r="AF11" s="67">
        <f t="shared" si="4"/>
        <v>6</v>
      </c>
      <c r="AG11" s="68"/>
      <c r="AH11" s="63">
        <f t="shared" si="5"/>
        <v>0</v>
      </c>
      <c r="AI11" s="33"/>
      <c r="AJ11" s="22">
        <v>1</v>
      </c>
      <c r="AK11" s="22">
        <v>1</v>
      </c>
      <c r="AL11" s="22">
        <v>1</v>
      </c>
      <c r="AM11" s="22">
        <v>1</v>
      </c>
      <c r="AN11" s="22">
        <v>1</v>
      </c>
      <c r="AO11" s="22">
        <v>1</v>
      </c>
      <c r="AP11" s="22">
        <v>1</v>
      </c>
      <c r="AQ11" s="22">
        <v>1</v>
      </c>
      <c r="AR11" s="22">
        <v>1</v>
      </c>
      <c r="AS11" s="22">
        <v>1</v>
      </c>
      <c r="AT11" s="22">
        <v>1</v>
      </c>
      <c r="AU11" s="22">
        <v>1</v>
      </c>
      <c r="AV11" s="67">
        <f t="shared" si="6"/>
        <v>12</v>
      </c>
      <c r="AW11" s="68"/>
    </row>
    <row r="12" spans="1:55" ht="18" x14ac:dyDescent="0.35">
      <c r="A12" s="7"/>
      <c r="B12" s="79" t="s">
        <v>91</v>
      </c>
      <c r="C12" s="77"/>
      <c r="D12" s="77"/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1</v>
      </c>
      <c r="L12" s="22">
        <v>2</v>
      </c>
      <c r="M12" s="22">
        <v>3</v>
      </c>
      <c r="N12" s="22">
        <v>4</v>
      </c>
      <c r="O12" s="22">
        <v>5</v>
      </c>
      <c r="P12" s="22">
        <v>6</v>
      </c>
      <c r="Q12" s="64">
        <f t="shared" si="3"/>
        <v>21</v>
      </c>
      <c r="R12" s="6"/>
      <c r="S12" s="120"/>
      <c r="T12" s="22">
        <v>8</v>
      </c>
      <c r="U12" s="22">
        <v>10</v>
      </c>
      <c r="V12" s="22">
        <v>12</v>
      </c>
      <c r="W12" s="22">
        <v>14</v>
      </c>
      <c r="X12" s="22">
        <v>16</v>
      </c>
      <c r="Y12" s="22">
        <v>18</v>
      </c>
      <c r="Z12" s="22">
        <v>20</v>
      </c>
      <c r="AA12" s="22">
        <v>22</v>
      </c>
      <c r="AB12" s="22">
        <v>24</v>
      </c>
      <c r="AC12" s="22">
        <v>26</v>
      </c>
      <c r="AD12" s="22">
        <v>28</v>
      </c>
      <c r="AE12" s="22">
        <v>30</v>
      </c>
      <c r="AF12" s="67">
        <f t="shared" si="4"/>
        <v>228</v>
      </c>
      <c r="AG12" s="68"/>
      <c r="AH12" s="223"/>
      <c r="AI12" s="33"/>
      <c r="AJ12" s="22">
        <v>33</v>
      </c>
      <c r="AK12" s="22">
        <v>36</v>
      </c>
      <c r="AL12" s="22">
        <v>39</v>
      </c>
      <c r="AM12" s="22">
        <v>42</v>
      </c>
      <c r="AN12" s="22">
        <v>45</v>
      </c>
      <c r="AO12" s="22">
        <v>48</v>
      </c>
      <c r="AP12" s="22">
        <v>51</v>
      </c>
      <c r="AQ12" s="22">
        <v>54</v>
      </c>
      <c r="AR12" s="22">
        <v>57</v>
      </c>
      <c r="AS12" s="22">
        <v>60</v>
      </c>
      <c r="AT12" s="22">
        <v>63</v>
      </c>
      <c r="AU12" s="22">
        <v>66</v>
      </c>
      <c r="AV12" s="67">
        <f t="shared" si="6"/>
        <v>594</v>
      </c>
      <c r="AW12" s="68"/>
    </row>
    <row r="13" spans="1:55" ht="18" x14ac:dyDescent="0.35">
      <c r="A13" s="7"/>
      <c r="B13" s="79" t="s">
        <v>90</v>
      </c>
      <c r="C13" s="22"/>
      <c r="D13" s="22"/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64">
        <f t="shared" si="3"/>
        <v>0</v>
      </c>
      <c r="R13" s="6"/>
      <c r="S13" s="22"/>
      <c r="T13" s="22">
        <f>P13*1.08</f>
        <v>0</v>
      </c>
      <c r="U13" s="22">
        <f>T13*1.08</f>
        <v>0</v>
      </c>
      <c r="V13" s="22">
        <f t="shared" ref="V13:AE13" si="7">U13*1.08</f>
        <v>0</v>
      </c>
      <c r="W13" s="22">
        <f t="shared" si="7"/>
        <v>0</v>
      </c>
      <c r="X13" s="22">
        <f t="shared" si="7"/>
        <v>0</v>
      </c>
      <c r="Y13" s="22">
        <f t="shared" si="7"/>
        <v>0</v>
      </c>
      <c r="Z13" s="22">
        <f t="shared" si="7"/>
        <v>0</v>
      </c>
      <c r="AA13" s="22">
        <f t="shared" si="7"/>
        <v>0</v>
      </c>
      <c r="AB13" s="22">
        <f t="shared" si="7"/>
        <v>0</v>
      </c>
      <c r="AC13" s="22">
        <f t="shared" si="7"/>
        <v>0</v>
      </c>
      <c r="AD13" s="22">
        <f t="shared" si="7"/>
        <v>0</v>
      </c>
      <c r="AE13" s="22">
        <f t="shared" si="7"/>
        <v>0</v>
      </c>
      <c r="AF13" s="67">
        <f t="shared" si="4"/>
        <v>0</v>
      </c>
      <c r="AG13" s="68"/>
      <c r="AH13" s="22"/>
      <c r="AI13" s="22"/>
      <c r="AJ13" s="129">
        <f>AE13*1.06</f>
        <v>0</v>
      </c>
      <c r="AK13" s="129">
        <f>AJ13*1.06</f>
        <v>0</v>
      </c>
      <c r="AL13" s="129">
        <f t="shared" ref="AL13:AU13" si="8">AK13*1.06</f>
        <v>0</v>
      </c>
      <c r="AM13" s="129">
        <f t="shared" si="8"/>
        <v>0</v>
      </c>
      <c r="AN13" s="129">
        <f t="shared" si="8"/>
        <v>0</v>
      </c>
      <c r="AO13" s="129">
        <f t="shared" si="8"/>
        <v>0</v>
      </c>
      <c r="AP13" s="129">
        <f t="shared" si="8"/>
        <v>0</v>
      </c>
      <c r="AQ13" s="129">
        <f t="shared" si="8"/>
        <v>0</v>
      </c>
      <c r="AR13" s="129">
        <f t="shared" si="8"/>
        <v>0</v>
      </c>
      <c r="AS13" s="129">
        <f t="shared" si="8"/>
        <v>0</v>
      </c>
      <c r="AT13" s="129">
        <f t="shared" si="8"/>
        <v>0</v>
      </c>
      <c r="AU13" s="129">
        <f t="shared" si="8"/>
        <v>0</v>
      </c>
      <c r="AV13" s="67">
        <f t="shared" si="6"/>
        <v>0</v>
      </c>
      <c r="AW13" s="68"/>
    </row>
    <row r="14" spans="1:55" ht="15.6" x14ac:dyDescent="0.3">
      <c r="A14" s="7"/>
      <c r="B14" s="95"/>
      <c r="C14" s="60"/>
      <c r="D14" s="96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8"/>
      <c r="R14" s="10"/>
      <c r="S14" s="60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9"/>
      <c r="AG14" s="50"/>
      <c r="AH14" s="95"/>
      <c r="AI14" s="96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100"/>
      <c r="AV14" s="67"/>
      <c r="AW14" s="36"/>
    </row>
    <row r="15" spans="1:55" x14ac:dyDescent="0.3">
      <c r="A15" s="7"/>
      <c r="B15" s="28" t="s">
        <v>0</v>
      </c>
      <c r="C15" s="29"/>
      <c r="D15" s="34"/>
      <c r="E15" s="23">
        <f t="shared" ref="E15:P15" si="9">SUM(E8:E13)</f>
        <v>1</v>
      </c>
      <c r="F15" s="23">
        <f t="shared" si="9"/>
        <v>0</v>
      </c>
      <c r="G15" s="23">
        <f t="shared" si="9"/>
        <v>0</v>
      </c>
      <c r="H15" s="23">
        <f t="shared" si="9"/>
        <v>2</v>
      </c>
      <c r="I15" s="23">
        <f t="shared" si="9"/>
        <v>0</v>
      </c>
      <c r="J15" s="23">
        <f t="shared" si="9"/>
        <v>1</v>
      </c>
      <c r="K15" s="23">
        <f t="shared" si="9"/>
        <v>2</v>
      </c>
      <c r="L15" s="23">
        <f t="shared" si="9"/>
        <v>3</v>
      </c>
      <c r="M15" s="23">
        <f t="shared" si="9"/>
        <v>4</v>
      </c>
      <c r="N15" s="23">
        <f t="shared" si="9"/>
        <v>4</v>
      </c>
      <c r="O15" s="23">
        <f t="shared" si="9"/>
        <v>6</v>
      </c>
      <c r="P15" s="23">
        <f t="shared" si="9"/>
        <v>7</v>
      </c>
      <c r="Q15" s="35">
        <f>SUM(E15:P15)</f>
        <v>30</v>
      </c>
      <c r="R15" s="10"/>
      <c r="S15" s="28"/>
      <c r="T15" s="23">
        <f t="shared" ref="T15:AF15" si="10">SUM(T8:T13)</f>
        <v>10</v>
      </c>
      <c r="U15" s="23">
        <f t="shared" si="10"/>
        <v>11</v>
      </c>
      <c r="V15" s="23">
        <f t="shared" si="10"/>
        <v>13</v>
      </c>
      <c r="W15" s="23">
        <f t="shared" si="10"/>
        <v>15</v>
      </c>
      <c r="X15" s="23">
        <f t="shared" si="10"/>
        <v>17</v>
      </c>
      <c r="Y15" s="23">
        <f t="shared" si="10"/>
        <v>19</v>
      </c>
      <c r="Z15" s="23">
        <f t="shared" si="10"/>
        <v>21</v>
      </c>
      <c r="AA15" s="23">
        <f t="shared" si="10"/>
        <v>23</v>
      </c>
      <c r="AB15" s="23">
        <f t="shared" si="10"/>
        <v>26</v>
      </c>
      <c r="AC15" s="23">
        <f t="shared" si="10"/>
        <v>28</v>
      </c>
      <c r="AD15" s="23">
        <f t="shared" si="10"/>
        <v>30</v>
      </c>
      <c r="AE15" s="23">
        <f t="shared" si="10"/>
        <v>31</v>
      </c>
      <c r="AF15" s="102">
        <f t="shared" si="10"/>
        <v>244</v>
      </c>
      <c r="AG15" s="50"/>
      <c r="AH15" s="28"/>
      <c r="AI15" s="34"/>
      <c r="AJ15" s="23">
        <f t="shared" ref="AJ15:AV15" si="11">SUM(AJ8:AJ13)</f>
        <v>35</v>
      </c>
      <c r="AK15" s="23">
        <f t="shared" si="11"/>
        <v>39</v>
      </c>
      <c r="AL15" s="23">
        <f t="shared" si="11"/>
        <v>41</v>
      </c>
      <c r="AM15" s="23">
        <f t="shared" si="11"/>
        <v>45</v>
      </c>
      <c r="AN15" s="23">
        <f t="shared" si="11"/>
        <v>47</v>
      </c>
      <c r="AO15" s="23">
        <f t="shared" si="11"/>
        <v>50</v>
      </c>
      <c r="AP15" s="23">
        <f t="shared" si="11"/>
        <v>53</v>
      </c>
      <c r="AQ15" s="23">
        <f t="shared" si="11"/>
        <v>56</v>
      </c>
      <c r="AR15" s="23">
        <f t="shared" si="11"/>
        <v>60</v>
      </c>
      <c r="AS15" s="23">
        <f t="shared" si="11"/>
        <v>63</v>
      </c>
      <c r="AT15" s="23">
        <f t="shared" si="11"/>
        <v>65</v>
      </c>
      <c r="AU15" s="23">
        <f t="shared" si="11"/>
        <v>69</v>
      </c>
      <c r="AV15" s="23">
        <f t="shared" si="11"/>
        <v>623</v>
      </c>
      <c r="AW15" s="36"/>
    </row>
    <row r="16" spans="1:55" ht="40.5" customHeight="1" x14ac:dyDescent="0.3">
      <c r="A16" s="7"/>
      <c r="B16" s="12" t="s">
        <v>7</v>
      </c>
      <c r="C16" s="32" t="s">
        <v>48</v>
      </c>
      <c r="D16" s="24"/>
      <c r="E16" s="14" t="str">
        <f t="shared" ref="E16:Q16" si="12">E5</f>
        <v>M1</v>
      </c>
      <c r="F16" s="14" t="str">
        <f t="shared" si="12"/>
        <v>M2</v>
      </c>
      <c r="G16" s="14" t="str">
        <f t="shared" si="12"/>
        <v>M3</v>
      </c>
      <c r="H16" s="14" t="str">
        <f t="shared" si="12"/>
        <v>M4</v>
      </c>
      <c r="I16" s="14" t="str">
        <f t="shared" si="12"/>
        <v>M5</v>
      </c>
      <c r="J16" s="14" t="str">
        <f t="shared" si="12"/>
        <v>M6</v>
      </c>
      <c r="K16" s="14" t="str">
        <f t="shared" si="12"/>
        <v>M7</v>
      </c>
      <c r="L16" s="14" t="str">
        <f t="shared" si="12"/>
        <v>M8</v>
      </c>
      <c r="M16" s="14" t="str">
        <f t="shared" si="12"/>
        <v>M9</v>
      </c>
      <c r="N16" s="14" t="str">
        <f t="shared" si="12"/>
        <v>M10</v>
      </c>
      <c r="O16" s="14" t="str">
        <f t="shared" si="12"/>
        <v>M11</v>
      </c>
      <c r="P16" s="14" t="str">
        <f t="shared" si="12"/>
        <v>M12</v>
      </c>
      <c r="Q16" s="15" t="str">
        <f t="shared" si="12"/>
        <v>Year 1</v>
      </c>
      <c r="R16" s="25"/>
      <c r="S16" s="52" t="str">
        <f>C16</f>
        <v xml:space="preserve">Selling Price </v>
      </c>
      <c r="T16" s="14" t="str">
        <f t="shared" ref="T16:AF16" si="13">T5</f>
        <v>M1</v>
      </c>
      <c r="U16" s="14" t="str">
        <f t="shared" si="13"/>
        <v>M2</v>
      </c>
      <c r="V16" s="14" t="str">
        <f t="shared" si="13"/>
        <v>M3</v>
      </c>
      <c r="W16" s="14" t="str">
        <f t="shared" si="13"/>
        <v>M4</v>
      </c>
      <c r="X16" s="14" t="str">
        <f t="shared" si="13"/>
        <v>M5</v>
      </c>
      <c r="Y16" s="14" t="str">
        <f t="shared" si="13"/>
        <v>M6</v>
      </c>
      <c r="Z16" s="14" t="str">
        <f t="shared" si="13"/>
        <v>M7</v>
      </c>
      <c r="AA16" s="14" t="str">
        <f t="shared" si="13"/>
        <v>M8</v>
      </c>
      <c r="AB16" s="14" t="str">
        <f t="shared" si="13"/>
        <v>M9</v>
      </c>
      <c r="AC16" s="14" t="str">
        <f t="shared" si="13"/>
        <v>M10</v>
      </c>
      <c r="AD16" s="14" t="str">
        <f t="shared" si="13"/>
        <v>M11</v>
      </c>
      <c r="AE16" s="14" t="str">
        <f t="shared" si="13"/>
        <v>M12</v>
      </c>
      <c r="AF16" s="53" t="str">
        <f t="shared" si="13"/>
        <v>Year 2</v>
      </c>
      <c r="AG16" s="50"/>
      <c r="AH16" s="52" t="str">
        <f>S16</f>
        <v xml:space="preserve">Selling Price </v>
      </c>
      <c r="AI16" s="24" t="e">
        <f>#REF!</f>
        <v>#REF!</v>
      </c>
      <c r="AJ16" s="14" t="str">
        <f t="shared" ref="AJ16:AV16" si="14">AJ5</f>
        <v>M1</v>
      </c>
      <c r="AK16" s="14" t="str">
        <f t="shared" si="14"/>
        <v>M2</v>
      </c>
      <c r="AL16" s="14" t="str">
        <f t="shared" si="14"/>
        <v>M3</v>
      </c>
      <c r="AM16" s="14" t="str">
        <f t="shared" si="14"/>
        <v>M4</v>
      </c>
      <c r="AN16" s="14" t="str">
        <f t="shared" si="14"/>
        <v>M5</v>
      </c>
      <c r="AO16" s="14" t="str">
        <f t="shared" si="14"/>
        <v>M6</v>
      </c>
      <c r="AP16" s="14" t="str">
        <f t="shared" si="14"/>
        <v>M7</v>
      </c>
      <c r="AQ16" s="14" t="str">
        <f t="shared" si="14"/>
        <v>M8</v>
      </c>
      <c r="AR16" s="14" t="str">
        <f t="shared" si="14"/>
        <v>M9</v>
      </c>
      <c r="AS16" s="14" t="str">
        <f t="shared" si="14"/>
        <v>M10</v>
      </c>
      <c r="AT16" s="14" t="str">
        <f t="shared" si="14"/>
        <v>M11</v>
      </c>
      <c r="AU16" s="14" t="str">
        <f t="shared" si="14"/>
        <v>M12</v>
      </c>
      <c r="AV16" s="53" t="str">
        <f t="shared" si="14"/>
        <v>Year 3</v>
      </c>
      <c r="AW16" s="36"/>
    </row>
    <row r="17" spans="1:53" x14ac:dyDescent="0.3">
      <c r="A17" s="7"/>
      <c r="B17" s="31"/>
      <c r="C17" s="31"/>
      <c r="D17" s="31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7"/>
      <c r="R17" s="25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55"/>
      <c r="AG17" s="50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55"/>
      <c r="AW17" s="36"/>
    </row>
    <row r="18" spans="1:53" x14ac:dyDescent="0.3">
      <c r="A18" s="7"/>
      <c r="B18" s="31" t="str">
        <f>B8</f>
        <v>Financial Services Corporations A</v>
      </c>
      <c r="C18" s="217">
        <v>30000</v>
      </c>
      <c r="D18" s="26"/>
      <c r="E18" s="194">
        <f>E8*$C18</f>
        <v>30000</v>
      </c>
      <c r="F18" s="194">
        <f t="shared" ref="F18:P18" si="15">F8*$C18</f>
        <v>0</v>
      </c>
      <c r="G18" s="194">
        <f t="shared" si="15"/>
        <v>0</v>
      </c>
      <c r="H18" s="194">
        <f t="shared" si="15"/>
        <v>30000</v>
      </c>
      <c r="I18" s="194">
        <f t="shared" si="15"/>
        <v>0</v>
      </c>
      <c r="J18" s="194">
        <f t="shared" si="15"/>
        <v>0</v>
      </c>
      <c r="K18" s="194">
        <f t="shared" si="15"/>
        <v>30000</v>
      </c>
      <c r="L18" s="194">
        <f t="shared" si="15"/>
        <v>0</v>
      </c>
      <c r="M18" s="194">
        <f t="shared" si="15"/>
        <v>30000</v>
      </c>
      <c r="N18" s="194">
        <f t="shared" si="15"/>
        <v>0</v>
      </c>
      <c r="O18" s="194">
        <f t="shared" si="15"/>
        <v>30000</v>
      </c>
      <c r="P18" s="194">
        <f t="shared" si="15"/>
        <v>0</v>
      </c>
      <c r="Q18" s="195">
        <f t="shared" ref="Q18:Q23" si="16">SUM(E18:P18)</f>
        <v>150000</v>
      </c>
      <c r="R18" s="196"/>
      <c r="S18" s="219">
        <f>C18</f>
        <v>30000</v>
      </c>
      <c r="T18" s="194">
        <f t="shared" ref="T18:AE18" si="17">T8*$S18</f>
        <v>30000</v>
      </c>
      <c r="U18" s="194">
        <f t="shared" si="17"/>
        <v>0</v>
      </c>
      <c r="V18" s="194">
        <f t="shared" si="17"/>
        <v>0</v>
      </c>
      <c r="W18" s="194">
        <f t="shared" si="17"/>
        <v>0</v>
      </c>
      <c r="X18" s="194">
        <f t="shared" si="17"/>
        <v>0</v>
      </c>
      <c r="Y18" s="194">
        <f t="shared" si="17"/>
        <v>0</v>
      </c>
      <c r="Z18" s="194">
        <f t="shared" si="17"/>
        <v>0</v>
      </c>
      <c r="AA18" s="194">
        <f t="shared" si="17"/>
        <v>30000</v>
      </c>
      <c r="AB18" s="194">
        <f t="shared" si="17"/>
        <v>30000</v>
      </c>
      <c r="AC18" s="194">
        <f t="shared" si="17"/>
        <v>30000</v>
      </c>
      <c r="AD18" s="194">
        <f t="shared" si="17"/>
        <v>30000</v>
      </c>
      <c r="AE18" s="194">
        <f t="shared" si="17"/>
        <v>0</v>
      </c>
      <c r="AF18" s="201">
        <f t="shared" ref="AF18:AF23" si="18">SUM(T18:AE18)</f>
        <v>150000</v>
      </c>
      <c r="AG18" s="202"/>
      <c r="AH18" s="180">
        <f>S18</f>
        <v>30000</v>
      </c>
      <c r="AI18" s="26"/>
      <c r="AJ18" s="194">
        <f t="shared" ref="AJ18:AU18" si="19">AJ8*$AH18</f>
        <v>30000</v>
      </c>
      <c r="AK18" s="194">
        <f t="shared" si="19"/>
        <v>30000</v>
      </c>
      <c r="AL18" s="194">
        <f t="shared" si="19"/>
        <v>30000</v>
      </c>
      <c r="AM18" s="194">
        <f t="shared" si="19"/>
        <v>0</v>
      </c>
      <c r="AN18" s="194">
        <f t="shared" si="19"/>
        <v>30000</v>
      </c>
      <c r="AO18" s="194">
        <f t="shared" si="19"/>
        <v>0</v>
      </c>
      <c r="AP18" s="194">
        <f t="shared" si="19"/>
        <v>30000</v>
      </c>
      <c r="AQ18" s="194">
        <f t="shared" si="19"/>
        <v>0</v>
      </c>
      <c r="AR18" s="194">
        <f t="shared" si="19"/>
        <v>30000</v>
      </c>
      <c r="AS18" s="194">
        <f t="shared" si="19"/>
        <v>30000</v>
      </c>
      <c r="AT18" s="194">
        <f t="shared" si="19"/>
        <v>30000</v>
      </c>
      <c r="AU18" s="194">
        <f t="shared" si="19"/>
        <v>30000</v>
      </c>
      <c r="AV18" s="201">
        <f t="shared" ref="AV18:AV23" si="20">SUM(AJ18:AU18)</f>
        <v>270000</v>
      </c>
      <c r="AW18" s="36"/>
    </row>
    <row r="19" spans="1:53" x14ac:dyDescent="0.3">
      <c r="A19" s="7"/>
      <c r="B19" s="31" t="str">
        <f>B9</f>
        <v>Financial Services Corporations B</v>
      </c>
      <c r="C19" s="217">
        <v>125000</v>
      </c>
      <c r="D19" s="26"/>
      <c r="E19" s="194">
        <f>E9*$C19</f>
        <v>0</v>
      </c>
      <c r="F19" s="194">
        <f t="shared" ref="F19:P19" si="21">F9*$C19</f>
        <v>0</v>
      </c>
      <c r="G19" s="194">
        <f t="shared" si="21"/>
        <v>0</v>
      </c>
      <c r="H19" s="194">
        <f t="shared" si="21"/>
        <v>125000</v>
      </c>
      <c r="I19" s="194">
        <f t="shared" si="21"/>
        <v>0</v>
      </c>
      <c r="J19" s="194">
        <f t="shared" si="21"/>
        <v>0</v>
      </c>
      <c r="K19" s="194">
        <f t="shared" si="21"/>
        <v>0</v>
      </c>
      <c r="L19" s="194">
        <f t="shared" si="21"/>
        <v>125000</v>
      </c>
      <c r="M19" s="194">
        <f t="shared" si="21"/>
        <v>0</v>
      </c>
      <c r="N19" s="194">
        <f t="shared" si="21"/>
        <v>0</v>
      </c>
      <c r="O19" s="194">
        <f t="shared" si="21"/>
        <v>0</v>
      </c>
      <c r="P19" s="194">
        <f t="shared" si="21"/>
        <v>125000</v>
      </c>
      <c r="Q19" s="195">
        <f t="shared" si="16"/>
        <v>375000</v>
      </c>
      <c r="R19" s="196"/>
      <c r="S19" s="219">
        <f t="shared" ref="S19:S23" si="22">C19</f>
        <v>125000</v>
      </c>
      <c r="T19" s="194">
        <f t="shared" ref="T19:AE19" si="23">T9*$S19</f>
        <v>0</v>
      </c>
      <c r="U19" s="194">
        <f t="shared" si="23"/>
        <v>125000</v>
      </c>
      <c r="V19" s="194">
        <f t="shared" si="23"/>
        <v>0</v>
      </c>
      <c r="W19" s="194">
        <f t="shared" si="23"/>
        <v>0</v>
      </c>
      <c r="X19" s="194">
        <f t="shared" si="23"/>
        <v>0</v>
      </c>
      <c r="Y19" s="194">
        <f t="shared" si="23"/>
        <v>125000</v>
      </c>
      <c r="Z19" s="194">
        <f t="shared" si="23"/>
        <v>0</v>
      </c>
      <c r="AA19" s="194">
        <f t="shared" si="23"/>
        <v>0</v>
      </c>
      <c r="AB19" s="194">
        <f t="shared" si="23"/>
        <v>0</v>
      </c>
      <c r="AC19" s="194">
        <f t="shared" si="23"/>
        <v>125000</v>
      </c>
      <c r="AD19" s="194">
        <f t="shared" si="23"/>
        <v>0</v>
      </c>
      <c r="AE19" s="194">
        <f t="shared" si="23"/>
        <v>125000</v>
      </c>
      <c r="AF19" s="201">
        <f t="shared" si="18"/>
        <v>500000</v>
      </c>
      <c r="AG19" s="202"/>
      <c r="AH19" s="180">
        <f t="shared" ref="AH19:AH23" si="24">S19</f>
        <v>125000</v>
      </c>
      <c r="AI19" s="145"/>
      <c r="AJ19" s="194">
        <f t="shared" ref="AJ19:AU19" si="25">AJ9*$AH19</f>
        <v>0</v>
      </c>
      <c r="AK19" s="194">
        <f t="shared" si="25"/>
        <v>125000</v>
      </c>
      <c r="AL19" s="194">
        <f t="shared" si="25"/>
        <v>0</v>
      </c>
      <c r="AM19" s="194">
        <f t="shared" si="25"/>
        <v>125000</v>
      </c>
      <c r="AN19" s="194">
        <f t="shared" si="25"/>
        <v>0</v>
      </c>
      <c r="AO19" s="194">
        <f t="shared" si="25"/>
        <v>125000</v>
      </c>
      <c r="AP19" s="194">
        <f t="shared" si="25"/>
        <v>0</v>
      </c>
      <c r="AQ19" s="194">
        <f t="shared" si="25"/>
        <v>125000</v>
      </c>
      <c r="AR19" s="194">
        <f t="shared" si="25"/>
        <v>0</v>
      </c>
      <c r="AS19" s="194">
        <f t="shared" si="25"/>
        <v>125000</v>
      </c>
      <c r="AT19" s="194">
        <f t="shared" si="25"/>
        <v>0</v>
      </c>
      <c r="AU19" s="194">
        <f t="shared" si="25"/>
        <v>125000</v>
      </c>
      <c r="AV19" s="201">
        <f t="shared" si="20"/>
        <v>750000</v>
      </c>
      <c r="AW19" s="36"/>
    </row>
    <row r="20" spans="1:53" x14ac:dyDescent="0.3">
      <c r="A20" s="7"/>
      <c r="B20" s="31" t="str">
        <f>B10</f>
        <v>Financial Services Corporations C</v>
      </c>
      <c r="C20" s="217">
        <v>250000</v>
      </c>
      <c r="D20" s="26"/>
      <c r="E20" s="194">
        <f>E10*$C20</f>
        <v>0</v>
      </c>
      <c r="F20" s="194">
        <f t="shared" ref="F20:P20" si="26">F10*$C20</f>
        <v>0</v>
      </c>
      <c r="G20" s="194">
        <f t="shared" si="26"/>
        <v>0</v>
      </c>
      <c r="H20" s="194">
        <f t="shared" si="26"/>
        <v>0</v>
      </c>
      <c r="I20" s="194">
        <f t="shared" si="26"/>
        <v>0</v>
      </c>
      <c r="J20" s="194">
        <f t="shared" si="26"/>
        <v>0</v>
      </c>
      <c r="K20" s="194">
        <f t="shared" si="26"/>
        <v>0</v>
      </c>
      <c r="L20" s="194">
        <f t="shared" si="26"/>
        <v>0</v>
      </c>
      <c r="M20" s="194">
        <f t="shared" si="26"/>
        <v>0</v>
      </c>
      <c r="N20" s="194">
        <f t="shared" si="26"/>
        <v>0</v>
      </c>
      <c r="O20" s="194">
        <f t="shared" si="26"/>
        <v>0</v>
      </c>
      <c r="P20" s="194">
        <f t="shared" si="26"/>
        <v>0</v>
      </c>
      <c r="Q20" s="195">
        <f t="shared" si="16"/>
        <v>0</v>
      </c>
      <c r="R20" s="196"/>
      <c r="S20" s="219">
        <f t="shared" si="22"/>
        <v>250000</v>
      </c>
      <c r="T20" s="194">
        <f t="shared" ref="T20:AE20" si="27">T10*$S20</f>
        <v>0</v>
      </c>
      <c r="U20" s="194">
        <f t="shared" si="27"/>
        <v>0</v>
      </c>
      <c r="V20" s="194">
        <f t="shared" si="27"/>
        <v>0</v>
      </c>
      <c r="W20" s="194">
        <f t="shared" si="27"/>
        <v>250000</v>
      </c>
      <c r="X20" s="194">
        <f t="shared" si="27"/>
        <v>0</v>
      </c>
      <c r="Y20" s="194">
        <f t="shared" si="27"/>
        <v>0</v>
      </c>
      <c r="Z20" s="194">
        <f t="shared" si="27"/>
        <v>0</v>
      </c>
      <c r="AA20" s="194">
        <f t="shared" si="27"/>
        <v>0</v>
      </c>
      <c r="AB20" s="194">
        <f t="shared" si="27"/>
        <v>0</v>
      </c>
      <c r="AC20" s="194">
        <f t="shared" si="27"/>
        <v>0</v>
      </c>
      <c r="AD20" s="194">
        <f t="shared" si="27"/>
        <v>0</v>
      </c>
      <c r="AE20" s="194">
        <f t="shared" si="27"/>
        <v>0</v>
      </c>
      <c r="AF20" s="201">
        <f t="shared" si="18"/>
        <v>250000</v>
      </c>
      <c r="AG20" s="202"/>
      <c r="AH20" s="180">
        <f t="shared" si="24"/>
        <v>250000</v>
      </c>
      <c r="AI20" s="145"/>
      <c r="AJ20" s="194">
        <f t="shared" ref="AJ20:AU20" si="28">AJ10*$AH20</f>
        <v>0</v>
      </c>
      <c r="AK20" s="194">
        <f t="shared" si="28"/>
        <v>0</v>
      </c>
      <c r="AL20" s="194">
        <f t="shared" si="28"/>
        <v>0</v>
      </c>
      <c r="AM20" s="194">
        <f t="shared" si="28"/>
        <v>250000</v>
      </c>
      <c r="AN20" s="194">
        <f t="shared" si="28"/>
        <v>0</v>
      </c>
      <c r="AO20" s="194">
        <f t="shared" si="28"/>
        <v>0</v>
      </c>
      <c r="AP20" s="194">
        <f t="shared" si="28"/>
        <v>0</v>
      </c>
      <c r="AQ20" s="194">
        <f t="shared" si="28"/>
        <v>0</v>
      </c>
      <c r="AR20" s="194">
        <f t="shared" si="28"/>
        <v>250000</v>
      </c>
      <c r="AS20" s="194">
        <f t="shared" si="28"/>
        <v>0</v>
      </c>
      <c r="AT20" s="194">
        <f t="shared" si="28"/>
        <v>0</v>
      </c>
      <c r="AU20" s="194">
        <f t="shared" si="28"/>
        <v>0</v>
      </c>
      <c r="AV20" s="201">
        <f t="shared" si="20"/>
        <v>500000</v>
      </c>
      <c r="AW20" s="36"/>
    </row>
    <row r="21" spans="1:53" x14ac:dyDescent="0.3">
      <c r="A21" s="7"/>
      <c r="B21" s="31" t="str">
        <f>B11</f>
        <v>Countries - upfront royalties</v>
      </c>
      <c r="C21" s="217">
        <v>500000</v>
      </c>
      <c r="D21" s="26"/>
      <c r="E21" s="194">
        <f>E11*$C21</f>
        <v>0</v>
      </c>
      <c r="F21" s="194">
        <f t="shared" ref="F21:P21" si="29">F11*$C21</f>
        <v>0</v>
      </c>
      <c r="G21" s="194">
        <f t="shared" si="29"/>
        <v>0</v>
      </c>
      <c r="H21" s="194">
        <f t="shared" si="29"/>
        <v>0</v>
      </c>
      <c r="I21" s="194">
        <f t="shared" si="29"/>
        <v>0</v>
      </c>
      <c r="J21" s="194">
        <f t="shared" si="29"/>
        <v>500000</v>
      </c>
      <c r="K21" s="194">
        <f t="shared" si="29"/>
        <v>0</v>
      </c>
      <c r="L21" s="194">
        <f t="shared" si="29"/>
        <v>0</v>
      </c>
      <c r="M21" s="194">
        <f t="shared" si="29"/>
        <v>0</v>
      </c>
      <c r="N21" s="194">
        <f t="shared" si="29"/>
        <v>0</v>
      </c>
      <c r="O21" s="194">
        <f t="shared" si="29"/>
        <v>0</v>
      </c>
      <c r="P21" s="194">
        <f t="shared" si="29"/>
        <v>0</v>
      </c>
      <c r="Q21" s="195">
        <f t="shared" si="16"/>
        <v>500000</v>
      </c>
      <c r="R21" s="196"/>
      <c r="S21" s="219">
        <f t="shared" si="22"/>
        <v>500000</v>
      </c>
      <c r="T21" s="194">
        <f>T11*$S21</f>
        <v>500000</v>
      </c>
      <c r="U21" s="194">
        <f t="shared" ref="U21:AE21" si="30">U11*$S21</f>
        <v>0</v>
      </c>
      <c r="V21" s="194">
        <f t="shared" si="30"/>
        <v>500000</v>
      </c>
      <c r="W21" s="194">
        <f t="shared" si="30"/>
        <v>0</v>
      </c>
      <c r="X21" s="194">
        <f t="shared" si="30"/>
        <v>500000</v>
      </c>
      <c r="Y21" s="194">
        <f t="shared" si="30"/>
        <v>0</v>
      </c>
      <c r="Z21" s="194">
        <f t="shared" si="30"/>
        <v>500000</v>
      </c>
      <c r="AA21" s="194">
        <f t="shared" si="30"/>
        <v>0</v>
      </c>
      <c r="AB21" s="194">
        <f t="shared" si="30"/>
        <v>500000</v>
      </c>
      <c r="AC21" s="194">
        <f t="shared" si="30"/>
        <v>0</v>
      </c>
      <c r="AD21" s="194">
        <f t="shared" si="30"/>
        <v>500000</v>
      </c>
      <c r="AE21" s="194">
        <f t="shared" si="30"/>
        <v>0</v>
      </c>
      <c r="AF21" s="201">
        <f t="shared" si="18"/>
        <v>3000000</v>
      </c>
      <c r="AG21" s="202"/>
      <c r="AH21" s="180">
        <f t="shared" si="24"/>
        <v>500000</v>
      </c>
      <c r="AI21" s="145"/>
      <c r="AJ21" s="194">
        <f>AJ11*$AH21</f>
        <v>500000</v>
      </c>
      <c r="AK21" s="194">
        <f t="shared" ref="AK21:AU21" si="31">AK11*$AH21</f>
        <v>500000</v>
      </c>
      <c r="AL21" s="194">
        <f t="shared" si="31"/>
        <v>500000</v>
      </c>
      <c r="AM21" s="194">
        <f t="shared" si="31"/>
        <v>500000</v>
      </c>
      <c r="AN21" s="194">
        <f t="shared" si="31"/>
        <v>500000</v>
      </c>
      <c r="AO21" s="194">
        <f t="shared" si="31"/>
        <v>500000</v>
      </c>
      <c r="AP21" s="194">
        <f t="shared" si="31"/>
        <v>500000</v>
      </c>
      <c r="AQ21" s="194">
        <f t="shared" si="31"/>
        <v>500000</v>
      </c>
      <c r="AR21" s="194">
        <f t="shared" si="31"/>
        <v>500000</v>
      </c>
      <c r="AS21" s="194">
        <f t="shared" si="31"/>
        <v>500000</v>
      </c>
      <c r="AT21" s="194">
        <f t="shared" si="31"/>
        <v>500000</v>
      </c>
      <c r="AU21" s="194">
        <f t="shared" si="31"/>
        <v>500000</v>
      </c>
      <c r="AV21" s="201">
        <f t="shared" si="20"/>
        <v>6000000</v>
      </c>
      <c r="AW21" s="36"/>
    </row>
    <row r="22" spans="1:53" x14ac:dyDescent="0.3">
      <c r="A22" s="7"/>
      <c r="B22" s="31" t="str">
        <f t="shared" ref="B22:B23" si="32">B12</f>
        <v>Countries - ongoing payments (per 1k)</v>
      </c>
      <c r="C22" s="218">
        <v>12000</v>
      </c>
      <c r="D22" s="26"/>
      <c r="E22" s="194">
        <f t="shared" ref="E22:P22" si="33">E12*$C22</f>
        <v>0</v>
      </c>
      <c r="F22" s="194">
        <f t="shared" si="33"/>
        <v>0</v>
      </c>
      <c r="G22" s="194">
        <f t="shared" si="33"/>
        <v>0</v>
      </c>
      <c r="H22" s="194">
        <f t="shared" si="33"/>
        <v>0</v>
      </c>
      <c r="I22" s="194">
        <f t="shared" si="33"/>
        <v>0</v>
      </c>
      <c r="J22" s="194">
        <f t="shared" si="33"/>
        <v>0</v>
      </c>
      <c r="K22" s="194">
        <f t="shared" si="33"/>
        <v>12000</v>
      </c>
      <c r="L22" s="194">
        <f t="shared" si="33"/>
        <v>24000</v>
      </c>
      <c r="M22" s="194">
        <f t="shared" si="33"/>
        <v>36000</v>
      </c>
      <c r="N22" s="194">
        <f t="shared" si="33"/>
        <v>48000</v>
      </c>
      <c r="O22" s="194">
        <f t="shared" si="33"/>
        <v>60000</v>
      </c>
      <c r="P22" s="194">
        <f t="shared" si="33"/>
        <v>72000</v>
      </c>
      <c r="Q22" s="195">
        <f t="shared" si="16"/>
        <v>252000</v>
      </c>
      <c r="R22" s="196"/>
      <c r="S22" s="220">
        <f t="shared" si="22"/>
        <v>12000</v>
      </c>
      <c r="T22" s="194">
        <f t="shared" ref="T22:AE23" si="34">T12*$S22</f>
        <v>96000</v>
      </c>
      <c r="U22" s="194">
        <f t="shared" si="34"/>
        <v>120000</v>
      </c>
      <c r="V22" s="194">
        <f t="shared" si="34"/>
        <v>144000</v>
      </c>
      <c r="W22" s="194">
        <f t="shared" si="34"/>
        <v>168000</v>
      </c>
      <c r="X22" s="194">
        <f t="shared" si="34"/>
        <v>192000</v>
      </c>
      <c r="Y22" s="194">
        <f t="shared" si="34"/>
        <v>216000</v>
      </c>
      <c r="Z22" s="194">
        <f t="shared" si="34"/>
        <v>240000</v>
      </c>
      <c r="AA22" s="194">
        <f t="shared" si="34"/>
        <v>264000</v>
      </c>
      <c r="AB22" s="194">
        <f t="shared" si="34"/>
        <v>288000</v>
      </c>
      <c r="AC22" s="194">
        <f t="shared" si="34"/>
        <v>312000</v>
      </c>
      <c r="AD22" s="194">
        <f t="shared" si="34"/>
        <v>336000</v>
      </c>
      <c r="AE22" s="194">
        <f t="shared" si="34"/>
        <v>360000</v>
      </c>
      <c r="AF22" s="201">
        <f t="shared" si="18"/>
        <v>2736000</v>
      </c>
      <c r="AG22" s="202"/>
      <c r="AH22" s="185">
        <f t="shared" si="24"/>
        <v>12000</v>
      </c>
      <c r="AI22" s="145"/>
      <c r="AJ22" s="194">
        <f t="shared" ref="AJ22:AU23" si="35">AJ12*$AH22</f>
        <v>396000</v>
      </c>
      <c r="AK22" s="194">
        <f t="shared" si="35"/>
        <v>432000</v>
      </c>
      <c r="AL22" s="194">
        <f t="shared" si="35"/>
        <v>468000</v>
      </c>
      <c r="AM22" s="194">
        <f t="shared" si="35"/>
        <v>504000</v>
      </c>
      <c r="AN22" s="194">
        <f t="shared" si="35"/>
        <v>540000</v>
      </c>
      <c r="AO22" s="194">
        <f t="shared" si="35"/>
        <v>576000</v>
      </c>
      <c r="AP22" s="194">
        <f t="shared" si="35"/>
        <v>612000</v>
      </c>
      <c r="AQ22" s="194">
        <f t="shared" si="35"/>
        <v>648000</v>
      </c>
      <c r="AR22" s="194">
        <f t="shared" si="35"/>
        <v>684000</v>
      </c>
      <c r="AS22" s="194">
        <f t="shared" si="35"/>
        <v>720000</v>
      </c>
      <c r="AT22" s="194">
        <f t="shared" si="35"/>
        <v>756000</v>
      </c>
      <c r="AU22" s="194">
        <f t="shared" si="35"/>
        <v>792000</v>
      </c>
      <c r="AV22" s="201">
        <f t="shared" si="20"/>
        <v>7128000</v>
      </c>
      <c r="AW22" s="36"/>
    </row>
    <row r="23" spans="1:53" x14ac:dyDescent="0.3">
      <c r="A23" s="7"/>
      <c r="B23" s="31" t="str">
        <f t="shared" si="32"/>
        <v>Countries - ongoing rights</v>
      </c>
      <c r="C23" s="218"/>
      <c r="D23" s="26"/>
      <c r="E23" s="194">
        <f t="shared" ref="E23:P23" si="36">E13*$C23</f>
        <v>0</v>
      </c>
      <c r="F23" s="194">
        <f t="shared" si="36"/>
        <v>0</v>
      </c>
      <c r="G23" s="194">
        <f t="shared" si="36"/>
        <v>0</v>
      </c>
      <c r="H23" s="194">
        <f t="shared" si="36"/>
        <v>0</v>
      </c>
      <c r="I23" s="194">
        <f t="shared" si="36"/>
        <v>0</v>
      </c>
      <c r="J23" s="194">
        <f t="shared" si="36"/>
        <v>0</v>
      </c>
      <c r="K23" s="194">
        <f t="shared" si="36"/>
        <v>0</v>
      </c>
      <c r="L23" s="194">
        <f t="shared" si="36"/>
        <v>0</v>
      </c>
      <c r="M23" s="194">
        <f t="shared" si="36"/>
        <v>0</v>
      </c>
      <c r="N23" s="194">
        <f t="shared" si="36"/>
        <v>0</v>
      </c>
      <c r="O23" s="194">
        <f t="shared" si="36"/>
        <v>0</v>
      </c>
      <c r="P23" s="194">
        <f t="shared" si="36"/>
        <v>0</v>
      </c>
      <c r="Q23" s="195">
        <f t="shared" si="16"/>
        <v>0</v>
      </c>
      <c r="R23" s="196"/>
      <c r="S23" s="220">
        <f t="shared" si="22"/>
        <v>0</v>
      </c>
      <c r="T23" s="194">
        <f t="shared" si="34"/>
        <v>0</v>
      </c>
      <c r="U23" s="194">
        <f t="shared" si="34"/>
        <v>0</v>
      </c>
      <c r="V23" s="194">
        <f t="shared" si="34"/>
        <v>0</v>
      </c>
      <c r="W23" s="194">
        <f t="shared" si="34"/>
        <v>0</v>
      </c>
      <c r="X23" s="194">
        <f t="shared" si="34"/>
        <v>0</v>
      </c>
      <c r="Y23" s="194">
        <f t="shared" si="34"/>
        <v>0</v>
      </c>
      <c r="Z23" s="194">
        <f t="shared" si="34"/>
        <v>0</v>
      </c>
      <c r="AA23" s="194">
        <f t="shared" si="34"/>
        <v>0</v>
      </c>
      <c r="AB23" s="194">
        <f t="shared" si="34"/>
        <v>0</v>
      </c>
      <c r="AC23" s="194">
        <f t="shared" si="34"/>
        <v>0</v>
      </c>
      <c r="AD23" s="194">
        <f t="shared" si="34"/>
        <v>0</v>
      </c>
      <c r="AE23" s="194">
        <f t="shared" si="34"/>
        <v>0</v>
      </c>
      <c r="AF23" s="201">
        <f t="shared" si="18"/>
        <v>0</v>
      </c>
      <c r="AG23" s="202"/>
      <c r="AH23" s="185">
        <f t="shared" si="24"/>
        <v>0</v>
      </c>
      <c r="AI23" s="145"/>
      <c r="AJ23" s="194">
        <f t="shared" si="35"/>
        <v>0</v>
      </c>
      <c r="AK23" s="194">
        <f t="shared" si="35"/>
        <v>0</v>
      </c>
      <c r="AL23" s="194">
        <f t="shared" si="35"/>
        <v>0</v>
      </c>
      <c r="AM23" s="194">
        <f t="shared" si="35"/>
        <v>0</v>
      </c>
      <c r="AN23" s="194">
        <f t="shared" si="35"/>
        <v>0</v>
      </c>
      <c r="AO23" s="194">
        <f t="shared" si="35"/>
        <v>0</v>
      </c>
      <c r="AP23" s="194">
        <f t="shared" si="35"/>
        <v>0</v>
      </c>
      <c r="AQ23" s="194">
        <f t="shared" si="35"/>
        <v>0</v>
      </c>
      <c r="AR23" s="194">
        <f t="shared" si="35"/>
        <v>0</v>
      </c>
      <c r="AS23" s="194">
        <f t="shared" si="35"/>
        <v>0</v>
      </c>
      <c r="AT23" s="194">
        <f t="shared" si="35"/>
        <v>0</v>
      </c>
      <c r="AU23" s="194">
        <f t="shared" si="35"/>
        <v>0</v>
      </c>
      <c r="AV23" s="201">
        <f t="shared" si="20"/>
        <v>0</v>
      </c>
      <c r="AW23" s="36"/>
    </row>
    <row r="24" spans="1:53" x14ac:dyDescent="0.3">
      <c r="A24" s="7"/>
      <c r="B24" s="31"/>
      <c r="C24" s="26"/>
      <c r="D24" s="26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5"/>
      <c r="R24" s="196"/>
      <c r="S24" s="26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201"/>
      <c r="AG24" s="202"/>
      <c r="AH24" s="26"/>
      <c r="AI24" s="26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201"/>
      <c r="AW24" s="36"/>
    </row>
    <row r="25" spans="1:53" x14ac:dyDescent="0.3">
      <c r="A25" s="7"/>
      <c r="B25" s="28" t="s">
        <v>0</v>
      </c>
      <c r="C25" s="29"/>
      <c r="D25" s="30"/>
      <c r="E25" s="197">
        <f t="shared" ref="E25:Q25" si="37">SUM(E17:E24)</f>
        <v>30000</v>
      </c>
      <c r="F25" s="197">
        <f t="shared" si="37"/>
        <v>0</v>
      </c>
      <c r="G25" s="197">
        <f t="shared" si="37"/>
        <v>0</v>
      </c>
      <c r="H25" s="197">
        <f t="shared" si="37"/>
        <v>155000</v>
      </c>
      <c r="I25" s="197">
        <f t="shared" si="37"/>
        <v>0</v>
      </c>
      <c r="J25" s="197">
        <f t="shared" si="37"/>
        <v>500000</v>
      </c>
      <c r="K25" s="197">
        <f t="shared" si="37"/>
        <v>42000</v>
      </c>
      <c r="L25" s="197">
        <f t="shared" si="37"/>
        <v>149000</v>
      </c>
      <c r="M25" s="197">
        <f t="shared" si="37"/>
        <v>66000</v>
      </c>
      <c r="N25" s="197">
        <f t="shared" si="37"/>
        <v>48000</v>
      </c>
      <c r="O25" s="197">
        <f t="shared" si="37"/>
        <v>90000</v>
      </c>
      <c r="P25" s="197">
        <f t="shared" si="37"/>
        <v>197000</v>
      </c>
      <c r="Q25" s="198">
        <f t="shared" si="37"/>
        <v>1277000</v>
      </c>
      <c r="R25" s="196"/>
      <c r="S25" s="28"/>
      <c r="T25" s="197">
        <f t="shared" ref="T25:AE25" si="38">SUM(T17:T24)</f>
        <v>626000</v>
      </c>
      <c r="U25" s="197">
        <f t="shared" si="38"/>
        <v>245000</v>
      </c>
      <c r="V25" s="197">
        <f t="shared" si="38"/>
        <v>644000</v>
      </c>
      <c r="W25" s="197">
        <f t="shared" si="38"/>
        <v>418000</v>
      </c>
      <c r="X25" s="197">
        <f t="shared" si="38"/>
        <v>692000</v>
      </c>
      <c r="Y25" s="197">
        <f t="shared" si="38"/>
        <v>341000</v>
      </c>
      <c r="Z25" s="197">
        <f t="shared" si="38"/>
        <v>740000</v>
      </c>
      <c r="AA25" s="197">
        <f t="shared" si="38"/>
        <v>294000</v>
      </c>
      <c r="AB25" s="197">
        <f t="shared" si="38"/>
        <v>818000</v>
      </c>
      <c r="AC25" s="197">
        <f t="shared" si="38"/>
        <v>467000</v>
      </c>
      <c r="AD25" s="197">
        <f t="shared" si="38"/>
        <v>866000</v>
      </c>
      <c r="AE25" s="197">
        <f t="shared" si="38"/>
        <v>485000</v>
      </c>
      <c r="AF25" s="203">
        <f>SUM(T25:AE25)</f>
        <v>6636000</v>
      </c>
      <c r="AG25" s="202"/>
      <c r="AH25" s="28"/>
      <c r="AI25" s="30"/>
      <c r="AJ25" s="197">
        <f t="shared" ref="AJ25:AV25" si="39">SUM(AJ17:AJ24)</f>
        <v>926000</v>
      </c>
      <c r="AK25" s="197">
        <f t="shared" si="39"/>
        <v>1087000</v>
      </c>
      <c r="AL25" s="197">
        <f t="shared" si="39"/>
        <v>998000</v>
      </c>
      <c r="AM25" s="197">
        <f t="shared" si="39"/>
        <v>1379000</v>
      </c>
      <c r="AN25" s="197">
        <f t="shared" si="39"/>
        <v>1070000</v>
      </c>
      <c r="AO25" s="197">
        <f t="shared" si="39"/>
        <v>1201000</v>
      </c>
      <c r="AP25" s="197">
        <f t="shared" si="39"/>
        <v>1142000</v>
      </c>
      <c r="AQ25" s="197">
        <f t="shared" si="39"/>
        <v>1273000</v>
      </c>
      <c r="AR25" s="197">
        <f t="shared" si="39"/>
        <v>1464000</v>
      </c>
      <c r="AS25" s="197">
        <f t="shared" si="39"/>
        <v>1375000</v>
      </c>
      <c r="AT25" s="197">
        <f t="shared" si="39"/>
        <v>1286000</v>
      </c>
      <c r="AU25" s="197">
        <f t="shared" si="39"/>
        <v>1447000</v>
      </c>
      <c r="AV25" s="197">
        <f t="shared" si="39"/>
        <v>14648000</v>
      </c>
      <c r="AW25" s="36"/>
    </row>
    <row r="26" spans="1:53" x14ac:dyDescent="0.3">
      <c r="A26" s="7"/>
      <c r="B26" s="7"/>
      <c r="C26" s="7"/>
      <c r="D26" s="7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200"/>
      <c r="S26" s="7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7"/>
      <c r="AG26" s="78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50"/>
      <c r="AV26" s="7"/>
      <c r="AW26" s="36"/>
    </row>
    <row r="27" spans="1:53" s="7" customFormat="1" x14ac:dyDescent="0.3">
      <c r="B27" s="36"/>
      <c r="C27" s="89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80"/>
      <c r="AW27" s="36"/>
      <c r="AX27" s="86"/>
      <c r="AY27" s="86"/>
      <c r="AZ27" s="86"/>
      <c r="BA27" s="86"/>
    </row>
    <row r="28" spans="1:53" s="7" customFormat="1" x14ac:dyDescent="0.3">
      <c r="B28" s="36"/>
      <c r="C28" s="89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36"/>
      <c r="AX28" s="86"/>
      <c r="AY28" s="86"/>
      <c r="AZ28" s="86"/>
      <c r="BA28" s="86"/>
    </row>
    <row r="29" spans="1:53" s="88" customFormat="1" x14ac:dyDescent="0.3">
      <c r="A29" s="7"/>
      <c r="B29" s="36"/>
      <c r="C29" s="89"/>
      <c r="D29" s="7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36"/>
      <c r="AX29" s="87"/>
      <c r="AY29" s="87"/>
      <c r="AZ29" s="87"/>
      <c r="BA29" s="87"/>
    </row>
    <row r="30" spans="1:53" s="88" customFormat="1" x14ac:dyDescent="0.3">
      <c r="A30" s="7"/>
      <c r="B30" s="36"/>
      <c r="C30" s="89"/>
      <c r="D30" s="7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36"/>
      <c r="AX30" s="87"/>
      <c r="AY30" s="87"/>
      <c r="AZ30" s="87"/>
      <c r="BA30" s="87"/>
    </row>
    <row r="31" spans="1:53" s="57" customFormat="1" x14ac:dyDescent="0.3">
      <c r="A31" s="7"/>
      <c r="B31" s="36"/>
      <c r="C31" s="89"/>
      <c r="D31" s="7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36"/>
      <c r="AX31" s="58"/>
      <c r="AY31" s="58"/>
      <c r="AZ31" s="58"/>
      <c r="BA31" s="58"/>
    </row>
    <row r="32" spans="1:53" s="57" customFormat="1" x14ac:dyDescent="0.3">
      <c r="A32" s="7"/>
      <c r="B32" s="36"/>
      <c r="C32" s="89"/>
      <c r="D32" s="7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36"/>
      <c r="AX32" s="58"/>
      <c r="AY32" s="58"/>
      <c r="AZ32" s="58"/>
      <c r="BA32" s="58"/>
    </row>
    <row r="33" spans="1:53" s="57" customFormat="1" x14ac:dyDescent="0.3">
      <c r="A33" s="7"/>
      <c r="B33" s="36"/>
      <c r="C33" s="89"/>
      <c r="D33" s="7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36"/>
      <c r="AX33" s="61"/>
      <c r="AY33" s="61"/>
      <c r="AZ33" s="61"/>
      <c r="BA33" s="61"/>
    </row>
    <row r="34" spans="1:53" s="57" customFormat="1" x14ac:dyDescent="0.3">
      <c r="A34" s="7"/>
      <c r="B34" s="36"/>
      <c r="C34" s="89"/>
      <c r="D34" s="7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36"/>
    </row>
    <row r="35" spans="1:53" s="57" customFormat="1" x14ac:dyDescent="0.3">
      <c r="A35" s="7"/>
      <c r="B35" s="36"/>
      <c r="C35" s="89"/>
      <c r="D35" s="7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Q35" s="80"/>
      <c r="AR35" s="80"/>
      <c r="AS35" s="80"/>
      <c r="AT35" s="80"/>
      <c r="AU35" s="80"/>
      <c r="AV35" s="80"/>
      <c r="AW35" s="36"/>
    </row>
    <row r="36" spans="1:53" s="57" customFormat="1" x14ac:dyDescent="0.3">
      <c r="A36" s="7"/>
      <c r="B36" s="36"/>
      <c r="C36" s="89"/>
      <c r="D36" s="7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36"/>
    </row>
    <row r="37" spans="1:53" s="57" customFormat="1" x14ac:dyDescent="0.3">
      <c r="A37" s="7"/>
      <c r="B37" s="36"/>
      <c r="C37" s="89"/>
      <c r="D37" s="7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36"/>
    </row>
    <row r="38" spans="1:53" s="57" customFormat="1" x14ac:dyDescent="0.3">
      <c r="A38" s="7"/>
      <c r="B38" s="36"/>
      <c r="C38" s="89"/>
      <c r="D38" s="7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36"/>
    </row>
    <row r="39" spans="1:53" s="57" customFormat="1" x14ac:dyDescent="0.3">
      <c r="A39" s="7"/>
      <c r="B39" s="7"/>
      <c r="C39" s="7"/>
      <c r="D39" s="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6"/>
      <c r="BA39" s="62"/>
    </row>
    <row r="40" spans="1:53" s="57" customFormat="1" x14ac:dyDescent="0.3">
      <c r="A40" s="7"/>
      <c r="B40" s="7"/>
      <c r="C40" s="7"/>
      <c r="D40" s="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10"/>
      <c r="S40" s="7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37"/>
      <c r="AG40" s="37"/>
      <c r="AH40" s="7"/>
      <c r="AI40" s="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6"/>
    </row>
    <row r="41" spans="1:53" s="57" customFormat="1" x14ac:dyDescent="0.3">
      <c r="A41" s="7"/>
      <c r="B41" s="7"/>
      <c r="C41" s="7"/>
      <c r="D41" s="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10"/>
      <c r="S41" s="7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37"/>
      <c r="AG41" s="37"/>
      <c r="AH41" s="7"/>
      <c r="AI41" s="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6"/>
    </row>
    <row r="42" spans="1:53" s="88" customFormat="1" x14ac:dyDescent="0.3">
      <c r="A42" s="7"/>
      <c r="B42" s="7"/>
      <c r="C42" s="7"/>
      <c r="D42" s="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10"/>
      <c r="S42" s="7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37"/>
      <c r="AG42" s="37"/>
      <c r="AH42" s="7"/>
      <c r="AI42" s="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6"/>
    </row>
    <row r="43" spans="1:53" s="88" customFormat="1" x14ac:dyDescent="0.3">
      <c r="A43" s="7"/>
      <c r="B43" s="7"/>
      <c r="C43" s="7"/>
      <c r="D43" s="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6"/>
    </row>
    <row r="44" spans="1:53" s="88" customFormat="1" x14ac:dyDescent="0.3">
      <c r="B44" s="7"/>
      <c r="C44" s="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</row>
    <row r="45" spans="1:53" s="7" customFormat="1" x14ac:dyDescent="0.3"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</row>
    <row r="46" spans="1:53" s="7" customFormat="1" x14ac:dyDescent="0.3"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</row>
    <row r="47" spans="1:53" s="7" customFormat="1" x14ac:dyDescent="0.3"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</row>
    <row r="48" spans="1:53" s="7" customFormat="1" x14ac:dyDescent="0.3"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</row>
    <row r="49" spans="1:49" s="7" customFormat="1" x14ac:dyDescent="0.3"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</row>
    <row r="50" spans="1:49" s="7" customFormat="1" x14ac:dyDescent="0.3"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</row>
    <row r="51" spans="1:49" s="7" customFormat="1" x14ac:dyDescent="0.3"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</row>
    <row r="52" spans="1:49" s="7" customFormat="1" x14ac:dyDescent="0.3"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</row>
    <row r="53" spans="1:49" s="7" customFormat="1" x14ac:dyDescent="0.3"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</row>
    <row r="54" spans="1:49" s="7" customFormat="1" x14ac:dyDescent="0.3"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</row>
    <row r="55" spans="1:49" s="7" customFormat="1" x14ac:dyDescent="0.3"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</row>
    <row r="56" spans="1:49" s="7" customFormat="1" x14ac:dyDescent="0.3">
      <c r="E56" s="86"/>
      <c r="H56" s="37"/>
    </row>
    <row r="57" spans="1:49" s="7" customFormat="1" x14ac:dyDescent="0.3">
      <c r="E57" s="86"/>
      <c r="H57" s="37"/>
      <c r="I57" s="69"/>
      <c r="J57" s="37"/>
    </row>
    <row r="58" spans="1:49" s="88" customFormat="1" x14ac:dyDescent="0.3">
      <c r="A58" s="7"/>
      <c r="B58" s="7"/>
      <c r="C58" s="7"/>
      <c r="D58" s="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7"/>
      <c r="S58" s="7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7"/>
      <c r="AG58" s="7"/>
      <c r="AH58" s="7"/>
      <c r="AI58" s="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6"/>
    </row>
    <row r="59" spans="1:49" s="88" customFormat="1" x14ac:dyDescent="0.3">
      <c r="A59" s="7"/>
      <c r="B59" s="7"/>
      <c r="C59" s="7"/>
      <c r="D59" s="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7"/>
      <c r="S59" s="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7"/>
      <c r="AG59" s="7"/>
      <c r="AH59" s="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6"/>
    </row>
    <row r="60" spans="1:49" s="88" customFormat="1" x14ac:dyDescent="0.3">
      <c r="B60" s="7"/>
      <c r="C60" s="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7"/>
      <c r="S60" s="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7"/>
      <c r="AG60" s="7"/>
      <c r="AH60" s="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</row>
    <row r="61" spans="1:49" s="7" customFormat="1" x14ac:dyDescent="0.3"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</row>
    <row r="62" spans="1:49" s="7" customFormat="1" x14ac:dyDescent="0.3"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</row>
    <row r="63" spans="1:49" s="7" customFormat="1" x14ac:dyDescent="0.3"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</row>
    <row r="64" spans="1:49" s="7" customFormat="1" x14ac:dyDescent="0.3"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</row>
    <row r="65" spans="5:48" s="7" customFormat="1" x14ac:dyDescent="0.3"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</row>
    <row r="66" spans="5:48" s="7" customFormat="1" x14ac:dyDescent="0.3"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</row>
    <row r="67" spans="5:48" s="7" customFormat="1" x14ac:dyDescent="0.3"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</row>
    <row r="68" spans="5:48" s="7" customFormat="1" x14ac:dyDescent="0.3"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</row>
    <row r="69" spans="5:48" s="7" customFormat="1" x14ac:dyDescent="0.3"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</row>
    <row r="70" spans="5:48" s="7" customFormat="1" x14ac:dyDescent="0.3"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</row>
    <row r="71" spans="5:48" s="7" customFormat="1" x14ac:dyDescent="0.3"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</row>
    <row r="72" spans="5:48" x14ac:dyDescent="0.3">
      <c r="R72" s="7"/>
      <c r="S72" s="7"/>
      <c r="AF72" s="7"/>
      <c r="AG72" s="7"/>
      <c r="AH72" s="7"/>
    </row>
  </sheetData>
  <mergeCells count="2">
    <mergeCell ref="AC3:AE3"/>
    <mergeCell ref="AS3:AU3"/>
  </mergeCells>
  <phoneticPr fontId="4" type="noConversion"/>
  <pageMargins left="0.70866141732283472" right="0.70866141732283472" top="0.74803149606299213" bottom="0.74803149606299213" header="0.31496062992125984" footer="0.31496062992125984"/>
  <pageSetup scale="35" fitToWidth="3" orientation="landscape" horizontalDpi="4294967292" verticalDpi="4294967292" r:id="rId1"/>
  <colBreaks count="2" manualBreakCount="2">
    <brk id="18" max="26" man="1"/>
    <brk id="33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47"/>
  <sheetViews>
    <sheetView view="pageBreakPreview" zoomScale="89" zoomScaleNormal="100" zoomScaleSheetLayoutView="89" workbookViewId="0">
      <selection activeCell="F35" sqref="F35"/>
    </sheetView>
  </sheetViews>
  <sheetFormatPr defaultColWidth="9.44140625" defaultRowHeight="14.4" x14ac:dyDescent="0.3"/>
  <cols>
    <col min="1" max="1" width="2.77734375" style="105" customWidth="1"/>
    <col min="2" max="2" width="59.44140625" style="105" customWidth="1"/>
    <col min="3" max="16" width="14.77734375" style="105" customWidth="1"/>
    <col min="17" max="17" width="1.21875" style="105" customWidth="1"/>
    <col min="18" max="30" width="15.21875" style="105" customWidth="1"/>
    <col min="31" max="31" width="0.77734375" style="105" customWidth="1"/>
    <col min="32" max="44" width="15" style="105" customWidth="1"/>
    <col min="45" max="16384" width="9.44140625" style="105"/>
  </cols>
  <sheetData>
    <row r="1" spans="1:44" ht="22.5" customHeight="1" x14ac:dyDescent="0.3">
      <c r="A1" s="38"/>
      <c r="B1" s="227" t="s">
        <v>8</v>
      </c>
      <c r="C1" s="227"/>
      <c r="D1" s="228"/>
      <c r="E1" s="228"/>
      <c r="F1" s="228"/>
      <c r="G1" s="228"/>
      <c r="H1" s="22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</row>
    <row r="2" spans="1:44" ht="12.75" customHeight="1" x14ac:dyDescent="0.3">
      <c r="A2" s="38"/>
      <c r="B2" s="106"/>
      <c r="C2" s="106"/>
      <c r="D2" s="47">
        <f>D13</f>
        <v>30000</v>
      </c>
      <c r="E2" s="47">
        <f>E13+D2</f>
        <v>30000</v>
      </c>
      <c r="F2" s="47">
        <f t="shared" ref="F2:O2" si="0">F13+E2</f>
        <v>30000</v>
      </c>
      <c r="G2" s="47">
        <f t="shared" si="0"/>
        <v>185000</v>
      </c>
      <c r="H2" s="47">
        <f t="shared" si="0"/>
        <v>185000</v>
      </c>
      <c r="I2" s="47">
        <f t="shared" si="0"/>
        <v>685000</v>
      </c>
      <c r="J2" s="47">
        <f t="shared" si="0"/>
        <v>727000</v>
      </c>
      <c r="K2" s="47">
        <f t="shared" si="0"/>
        <v>876000</v>
      </c>
      <c r="L2" s="47">
        <f t="shared" si="0"/>
        <v>942000</v>
      </c>
      <c r="M2" s="47">
        <f t="shared" si="0"/>
        <v>990000</v>
      </c>
      <c r="N2" s="47">
        <f t="shared" si="0"/>
        <v>1080000</v>
      </c>
      <c r="O2" s="47">
        <f t="shared" si="0"/>
        <v>1277000</v>
      </c>
      <c r="P2" s="45"/>
      <c r="Q2" s="38"/>
      <c r="R2" s="45">
        <f>R13</f>
        <v>626000</v>
      </c>
      <c r="S2" s="45">
        <f>S13+R2</f>
        <v>871000</v>
      </c>
      <c r="T2" s="45">
        <f t="shared" ref="T2:AC2" si="1">T13+S2</f>
        <v>1515000</v>
      </c>
      <c r="U2" s="45">
        <f t="shared" si="1"/>
        <v>1933000</v>
      </c>
      <c r="V2" s="45">
        <f t="shared" si="1"/>
        <v>2625000</v>
      </c>
      <c r="W2" s="45">
        <f t="shared" si="1"/>
        <v>2966000</v>
      </c>
      <c r="X2" s="45">
        <f t="shared" si="1"/>
        <v>3706000</v>
      </c>
      <c r="Y2" s="45">
        <f t="shared" si="1"/>
        <v>4000000</v>
      </c>
      <c r="Z2" s="45">
        <f t="shared" si="1"/>
        <v>4818000</v>
      </c>
      <c r="AA2" s="45">
        <f t="shared" si="1"/>
        <v>5285000</v>
      </c>
      <c r="AB2" s="45">
        <f t="shared" si="1"/>
        <v>6151000</v>
      </c>
      <c r="AC2" s="45">
        <f t="shared" si="1"/>
        <v>6636000</v>
      </c>
      <c r="AD2" s="38"/>
      <c r="AE2" s="38"/>
      <c r="AF2" s="45">
        <f>AF13</f>
        <v>926000</v>
      </c>
      <c r="AG2" s="45">
        <f>AG13+AF2</f>
        <v>2013000</v>
      </c>
      <c r="AH2" s="45">
        <f t="shared" ref="AH2:AQ2" si="2">AH13+AG2</f>
        <v>3011000</v>
      </c>
      <c r="AI2" s="45">
        <f t="shared" si="2"/>
        <v>4390000</v>
      </c>
      <c r="AJ2" s="45">
        <f t="shared" si="2"/>
        <v>5460000</v>
      </c>
      <c r="AK2" s="45">
        <f t="shared" si="2"/>
        <v>6661000</v>
      </c>
      <c r="AL2" s="45">
        <f t="shared" si="2"/>
        <v>7803000</v>
      </c>
      <c r="AM2" s="45">
        <f t="shared" si="2"/>
        <v>9076000</v>
      </c>
      <c r="AN2" s="45">
        <f t="shared" si="2"/>
        <v>10540000</v>
      </c>
      <c r="AO2" s="45">
        <f t="shared" si="2"/>
        <v>11915000</v>
      </c>
      <c r="AP2" s="45">
        <f t="shared" si="2"/>
        <v>13201000</v>
      </c>
      <c r="AQ2" s="45">
        <f t="shared" si="2"/>
        <v>14648000</v>
      </c>
      <c r="AR2" s="38"/>
    </row>
    <row r="3" spans="1:44" ht="12.75" customHeight="1" x14ac:dyDescent="0.3">
      <c r="A3" s="38"/>
      <c r="B3" s="106"/>
      <c r="C3" s="106"/>
      <c r="D3" s="59"/>
      <c r="E3" s="47"/>
      <c r="F3" s="47"/>
      <c r="G3" s="47"/>
      <c r="H3" s="47"/>
      <c r="I3" s="45"/>
      <c r="J3" s="45"/>
      <c r="K3" s="48">
        <v>0.15</v>
      </c>
      <c r="L3" s="48">
        <f>40000-K2</f>
        <v>-836000</v>
      </c>
      <c r="M3" s="48"/>
      <c r="N3" s="48"/>
      <c r="O3" s="48"/>
      <c r="P3" s="45"/>
      <c r="Q3" s="38"/>
      <c r="R3" s="45"/>
      <c r="S3" s="45"/>
      <c r="T3" s="45">
        <v>0.15</v>
      </c>
      <c r="U3" s="45">
        <f>40000-T2</f>
        <v>-1475000</v>
      </c>
      <c r="V3" s="45"/>
      <c r="W3" s="45"/>
      <c r="X3" s="45"/>
      <c r="Y3" s="45"/>
      <c r="Z3" s="45"/>
      <c r="AA3" s="45"/>
      <c r="AB3" s="45"/>
      <c r="AC3" s="45"/>
      <c r="AD3" s="38"/>
      <c r="AE3" s="38"/>
      <c r="AF3" s="45"/>
      <c r="AG3" s="45"/>
      <c r="AH3" s="45">
        <v>0.15</v>
      </c>
      <c r="AI3" s="45">
        <f>40000-AH2</f>
        <v>-2971000</v>
      </c>
      <c r="AJ3" s="45"/>
      <c r="AK3" s="45"/>
      <c r="AL3" s="45"/>
      <c r="AM3" s="45"/>
      <c r="AN3" s="45"/>
      <c r="AO3" s="45"/>
      <c r="AP3" s="45"/>
      <c r="AQ3" s="45"/>
      <c r="AR3" s="38"/>
    </row>
    <row r="4" spans="1:44" ht="12.75" customHeight="1" x14ac:dyDescent="0.3">
      <c r="A4" s="38"/>
      <c r="B4" s="106"/>
      <c r="C4" s="106"/>
      <c r="D4" s="47"/>
      <c r="E4" s="47"/>
      <c r="F4" s="47"/>
      <c r="G4" s="47"/>
      <c r="H4" s="47"/>
      <c r="I4" s="45"/>
      <c r="J4" s="45"/>
      <c r="K4" s="45">
        <v>0.1</v>
      </c>
      <c r="L4" s="45">
        <f>L2-40000</f>
        <v>902000</v>
      </c>
      <c r="M4" s="45"/>
      <c r="N4" s="45"/>
      <c r="O4" s="45"/>
      <c r="P4" s="45"/>
      <c r="Q4" s="38"/>
      <c r="R4" s="45"/>
      <c r="S4" s="45"/>
      <c r="T4" s="45">
        <v>0.1</v>
      </c>
      <c r="U4" s="45">
        <f>U2-40000</f>
        <v>1893000</v>
      </c>
      <c r="V4" s="45"/>
      <c r="W4" s="45"/>
      <c r="X4" s="45"/>
      <c r="Y4" s="45"/>
      <c r="Z4" s="45"/>
      <c r="AA4" s="45"/>
      <c r="AB4" s="45"/>
      <c r="AC4" s="45"/>
      <c r="AD4" s="38"/>
      <c r="AE4" s="38"/>
      <c r="AF4" s="45"/>
      <c r="AG4" s="45"/>
      <c r="AH4" s="45">
        <v>0.1</v>
      </c>
      <c r="AI4" s="45">
        <f>AI2-40000</f>
        <v>4350000</v>
      </c>
      <c r="AJ4" s="45"/>
      <c r="AK4" s="45"/>
      <c r="AL4" s="45"/>
      <c r="AM4" s="45"/>
      <c r="AN4" s="45"/>
      <c r="AO4" s="45"/>
      <c r="AP4" s="45"/>
      <c r="AQ4" s="45"/>
      <c r="AR4" s="38"/>
    </row>
    <row r="5" spans="1:44" ht="12.75" customHeight="1" x14ac:dyDescent="0.3">
      <c r="A5" s="107"/>
      <c r="B5" s="107"/>
      <c r="C5" s="107"/>
      <c r="D5" s="107"/>
      <c r="E5" s="107"/>
      <c r="F5" s="107" t="s">
        <v>9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38"/>
      <c r="R5" s="107"/>
      <c r="S5" s="107"/>
      <c r="T5" s="107" t="s">
        <v>10</v>
      </c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38"/>
      <c r="AF5" s="107"/>
      <c r="AG5" s="107"/>
      <c r="AH5" s="107" t="s">
        <v>11</v>
      </c>
      <c r="AI5" s="107"/>
      <c r="AJ5" s="107"/>
      <c r="AK5" s="107"/>
      <c r="AL5" s="107"/>
      <c r="AM5" s="107"/>
      <c r="AN5" s="107"/>
      <c r="AO5" s="107"/>
      <c r="AP5" s="107"/>
      <c r="AQ5" s="107"/>
      <c r="AR5" s="107"/>
    </row>
    <row r="6" spans="1:44" ht="12.75" customHeight="1" x14ac:dyDescent="0.3">
      <c r="A6" s="108"/>
      <c r="B6" s="109"/>
      <c r="C6" s="108"/>
      <c r="D6" s="108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38"/>
      <c r="R6" s="109"/>
      <c r="S6" s="109"/>
      <c r="T6" s="107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38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</row>
    <row r="7" spans="1:44" ht="12.75" customHeight="1" x14ac:dyDescent="0.3">
      <c r="A7" s="108"/>
      <c r="B7" s="109" t="s">
        <v>12</v>
      </c>
      <c r="C7" s="109" t="s">
        <v>6</v>
      </c>
      <c r="D7" s="136" t="str">
        <f>'Sales forecast'!E5</f>
        <v>M1</v>
      </c>
      <c r="E7" s="136" t="str">
        <f>'Sales forecast'!F5</f>
        <v>M2</v>
      </c>
      <c r="F7" s="136" t="str">
        <f>'Sales forecast'!G5</f>
        <v>M3</v>
      </c>
      <c r="G7" s="136" t="str">
        <f>'Sales forecast'!H5</f>
        <v>M4</v>
      </c>
      <c r="H7" s="136" t="str">
        <f>'Sales forecast'!I5</f>
        <v>M5</v>
      </c>
      <c r="I7" s="136" t="str">
        <f>'Sales forecast'!J5</f>
        <v>M6</v>
      </c>
      <c r="J7" s="136" t="str">
        <f>'Sales forecast'!K5</f>
        <v>M7</v>
      </c>
      <c r="K7" s="136" t="str">
        <f>'Sales forecast'!L5</f>
        <v>M8</v>
      </c>
      <c r="L7" s="136" t="str">
        <f>'Sales forecast'!M5</f>
        <v>M9</v>
      </c>
      <c r="M7" s="136" t="str">
        <f>'Sales forecast'!N5</f>
        <v>M10</v>
      </c>
      <c r="N7" s="136" t="str">
        <f>'Sales forecast'!O5</f>
        <v>M11</v>
      </c>
      <c r="O7" s="136" t="str">
        <f>'Sales forecast'!P5</f>
        <v>M12</v>
      </c>
      <c r="P7" s="108" t="s">
        <v>0</v>
      </c>
      <c r="Q7" s="38"/>
      <c r="R7" s="136" t="str">
        <f>'Sales forecast'!T5</f>
        <v>M1</v>
      </c>
      <c r="S7" s="136" t="str">
        <f>'Sales forecast'!U5</f>
        <v>M2</v>
      </c>
      <c r="T7" s="136" t="str">
        <f>'Sales forecast'!V5</f>
        <v>M3</v>
      </c>
      <c r="U7" s="136" t="str">
        <f>'Sales forecast'!W5</f>
        <v>M4</v>
      </c>
      <c r="V7" s="136" t="str">
        <f>'Sales forecast'!X5</f>
        <v>M5</v>
      </c>
      <c r="W7" s="136" t="str">
        <f>'Sales forecast'!Y5</f>
        <v>M6</v>
      </c>
      <c r="X7" s="136" t="str">
        <f>'Sales forecast'!Z5</f>
        <v>M7</v>
      </c>
      <c r="Y7" s="136" t="str">
        <f>'Sales forecast'!AA5</f>
        <v>M8</v>
      </c>
      <c r="Z7" s="136" t="str">
        <f>'Sales forecast'!AB5</f>
        <v>M9</v>
      </c>
      <c r="AA7" s="136" t="str">
        <f>'Sales forecast'!AC5</f>
        <v>M10</v>
      </c>
      <c r="AB7" s="136" t="str">
        <f>'Sales forecast'!AD5</f>
        <v>M11</v>
      </c>
      <c r="AC7" s="136" t="str">
        <f>'Sales forecast'!AE5</f>
        <v>M12</v>
      </c>
      <c r="AD7" s="108" t="s">
        <v>4</v>
      </c>
      <c r="AE7" s="38"/>
      <c r="AF7" s="137" t="str">
        <f>'Sales forecast'!AJ5</f>
        <v>M1</v>
      </c>
      <c r="AG7" s="137" t="str">
        <f>'Sales forecast'!AK5</f>
        <v>M2</v>
      </c>
      <c r="AH7" s="137" t="str">
        <f>'Sales forecast'!AL5</f>
        <v>M3</v>
      </c>
      <c r="AI7" s="137" t="str">
        <f>'Sales forecast'!AM5</f>
        <v>M4</v>
      </c>
      <c r="AJ7" s="137" t="str">
        <f>'Sales forecast'!AN5</f>
        <v>M5</v>
      </c>
      <c r="AK7" s="137" t="str">
        <f>'Sales forecast'!AO5</f>
        <v>M6</v>
      </c>
      <c r="AL7" s="137" t="str">
        <f>'Sales forecast'!AP5</f>
        <v>M7</v>
      </c>
      <c r="AM7" s="137" t="str">
        <f>'Sales forecast'!AQ5</f>
        <v>M8</v>
      </c>
      <c r="AN7" s="137" t="str">
        <f>'Sales forecast'!AR5</f>
        <v>M9</v>
      </c>
      <c r="AO7" s="137" t="str">
        <f>'Sales forecast'!AS5</f>
        <v>M10</v>
      </c>
      <c r="AP7" s="137" t="str">
        <f>'Sales forecast'!AT5</f>
        <v>M11</v>
      </c>
      <c r="AQ7" s="137" t="str">
        <f>'Sales forecast'!AU5</f>
        <v>M12</v>
      </c>
      <c r="AR7" s="108" t="s">
        <v>5</v>
      </c>
    </row>
    <row r="8" spans="1:44" ht="12.75" customHeight="1" x14ac:dyDescent="0.3">
      <c r="A8" s="108"/>
      <c r="B8" s="110" t="s">
        <v>51</v>
      </c>
      <c r="C8" s="186">
        <v>220000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>
        <f>SUM(C8:O8)</f>
        <v>220000</v>
      </c>
      <c r="Q8" s="38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>
        <f>SUM(R8:AC8)</f>
        <v>0</v>
      </c>
      <c r="AE8" s="38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</row>
    <row r="9" spans="1:44" ht="12.75" customHeight="1" x14ac:dyDescent="0.3">
      <c r="A9" s="108"/>
      <c r="B9" s="109" t="s">
        <v>13</v>
      </c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>
        <f>SUM(C9:O9)</f>
        <v>0</v>
      </c>
      <c r="Q9" s="38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38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</row>
    <row r="10" spans="1:44" ht="12.75" customHeight="1" x14ac:dyDescent="0.3">
      <c r="A10" s="108"/>
      <c r="B10" s="110" t="s">
        <v>14</v>
      </c>
      <c r="C10" s="186"/>
      <c r="D10" s="186">
        <f>'Sales forecast'!E25</f>
        <v>30000</v>
      </c>
      <c r="E10" s="186">
        <f>'Sales forecast'!F25</f>
        <v>0</v>
      </c>
      <c r="F10" s="186">
        <f>'Sales forecast'!G25</f>
        <v>0</v>
      </c>
      <c r="G10" s="186">
        <f>'Sales forecast'!H25</f>
        <v>155000</v>
      </c>
      <c r="H10" s="186">
        <f>'Sales forecast'!I25</f>
        <v>0</v>
      </c>
      <c r="I10" s="186">
        <f>'Sales forecast'!J25</f>
        <v>500000</v>
      </c>
      <c r="J10" s="186">
        <f>'Sales forecast'!K25</f>
        <v>42000</v>
      </c>
      <c r="K10" s="186">
        <f>'Sales forecast'!L25</f>
        <v>149000</v>
      </c>
      <c r="L10" s="186">
        <f>'Sales forecast'!M25</f>
        <v>66000</v>
      </c>
      <c r="M10" s="186">
        <f>'Sales forecast'!N25</f>
        <v>48000</v>
      </c>
      <c r="N10" s="186">
        <f>'Sales forecast'!O25</f>
        <v>90000</v>
      </c>
      <c r="O10" s="186">
        <f>'Sales forecast'!P25</f>
        <v>197000</v>
      </c>
      <c r="P10" s="186">
        <f>SUM(C10:O10)</f>
        <v>1277000</v>
      </c>
      <c r="Q10" s="38"/>
      <c r="R10" s="186">
        <f>'Sales forecast'!T25</f>
        <v>626000</v>
      </c>
      <c r="S10" s="186">
        <f>'Sales forecast'!U25</f>
        <v>245000</v>
      </c>
      <c r="T10" s="186">
        <f>'Sales forecast'!V25</f>
        <v>644000</v>
      </c>
      <c r="U10" s="186">
        <f>'Sales forecast'!W25</f>
        <v>418000</v>
      </c>
      <c r="V10" s="186">
        <f>'Sales forecast'!X25</f>
        <v>692000</v>
      </c>
      <c r="W10" s="186">
        <f>'Sales forecast'!Y25</f>
        <v>341000</v>
      </c>
      <c r="X10" s="186">
        <f>'Sales forecast'!Z25</f>
        <v>740000</v>
      </c>
      <c r="Y10" s="186">
        <f>'Sales forecast'!AA25</f>
        <v>294000</v>
      </c>
      <c r="Z10" s="186">
        <f>'Sales forecast'!AB25</f>
        <v>818000</v>
      </c>
      <c r="AA10" s="186">
        <f>'Sales forecast'!AC25</f>
        <v>467000</v>
      </c>
      <c r="AB10" s="186">
        <f>'Sales forecast'!AD25</f>
        <v>866000</v>
      </c>
      <c r="AC10" s="186">
        <f>'Sales forecast'!AE25</f>
        <v>485000</v>
      </c>
      <c r="AD10" s="186">
        <f>SUM(R10:AC10)</f>
        <v>6636000</v>
      </c>
      <c r="AE10" s="38"/>
      <c r="AF10" s="186">
        <f>'Sales forecast'!AJ25</f>
        <v>926000</v>
      </c>
      <c r="AG10" s="186">
        <f>'Sales forecast'!AK25</f>
        <v>1087000</v>
      </c>
      <c r="AH10" s="186">
        <f>'Sales forecast'!AL25</f>
        <v>998000</v>
      </c>
      <c r="AI10" s="186">
        <f>'Sales forecast'!AM25</f>
        <v>1379000</v>
      </c>
      <c r="AJ10" s="186">
        <f>'Sales forecast'!AN25</f>
        <v>1070000</v>
      </c>
      <c r="AK10" s="186">
        <f>'Sales forecast'!AO25</f>
        <v>1201000</v>
      </c>
      <c r="AL10" s="186">
        <f>'Sales forecast'!AP25</f>
        <v>1142000</v>
      </c>
      <c r="AM10" s="186">
        <f>'Sales forecast'!AQ25</f>
        <v>1273000</v>
      </c>
      <c r="AN10" s="186">
        <f>'Sales forecast'!AR25</f>
        <v>1464000</v>
      </c>
      <c r="AO10" s="186">
        <f>'Sales forecast'!AS25</f>
        <v>1375000</v>
      </c>
      <c r="AP10" s="186">
        <f>'Sales forecast'!AT25</f>
        <v>1286000</v>
      </c>
      <c r="AQ10" s="186">
        <f>'Sales forecast'!AU25</f>
        <v>1447000</v>
      </c>
      <c r="AR10" s="186">
        <f>'Sales forecast'!AV25</f>
        <v>14648000</v>
      </c>
    </row>
    <row r="11" spans="1:44" ht="12.75" customHeight="1" x14ac:dyDescent="0.3">
      <c r="A11" s="108"/>
      <c r="B11" s="110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38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38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</row>
    <row r="12" spans="1:44" ht="16.05" customHeight="1" x14ac:dyDescent="0.3">
      <c r="A12" s="108"/>
      <c r="B12" s="109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38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38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ht="12.75" customHeight="1" x14ac:dyDescent="0.3">
      <c r="A13" s="108"/>
      <c r="B13" s="109" t="s">
        <v>15</v>
      </c>
      <c r="C13" s="186">
        <f t="shared" ref="C13:AR13" si="3">SUM(C8:C12)</f>
        <v>220000</v>
      </c>
      <c r="D13" s="186">
        <f t="shared" si="3"/>
        <v>30000</v>
      </c>
      <c r="E13" s="186">
        <f t="shared" si="3"/>
        <v>0</v>
      </c>
      <c r="F13" s="186">
        <f t="shared" si="3"/>
        <v>0</v>
      </c>
      <c r="G13" s="186">
        <f t="shared" si="3"/>
        <v>155000</v>
      </c>
      <c r="H13" s="186">
        <f t="shared" si="3"/>
        <v>0</v>
      </c>
      <c r="I13" s="186">
        <f t="shared" si="3"/>
        <v>500000</v>
      </c>
      <c r="J13" s="186">
        <f t="shared" si="3"/>
        <v>42000</v>
      </c>
      <c r="K13" s="186">
        <f t="shared" si="3"/>
        <v>149000</v>
      </c>
      <c r="L13" s="186">
        <f t="shared" si="3"/>
        <v>66000</v>
      </c>
      <c r="M13" s="186">
        <f t="shared" si="3"/>
        <v>48000</v>
      </c>
      <c r="N13" s="186">
        <f t="shared" si="3"/>
        <v>90000</v>
      </c>
      <c r="O13" s="186">
        <f t="shared" si="3"/>
        <v>197000</v>
      </c>
      <c r="P13" s="186">
        <f>SUM(P8:P12)</f>
        <v>1497000</v>
      </c>
      <c r="Q13" s="38"/>
      <c r="R13" s="186">
        <f>SUM(R8:R12)</f>
        <v>626000</v>
      </c>
      <c r="S13" s="186">
        <f t="shared" si="3"/>
        <v>245000</v>
      </c>
      <c r="T13" s="186">
        <f t="shared" si="3"/>
        <v>644000</v>
      </c>
      <c r="U13" s="186">
        <f t="shared" si="3"/>
        <v>418000</v>
      </c>
      <c r="V13" s="186">
        <f t="shared" si="3"/>
        <v>692000</v>
      </c>
      <c r="W13" s="186">
        <f t="shared" si="3"/>
        <v>341000</v>
      </c>
      <c r="X13" s="186">
        <f t="shared" si="3"/>
        <v>740000</v>
      </c>
      <c r="Y13" s="186">
        <f t="shared" si="3"/>
        <v>294000</v>
      </c>
      <c r="Z13" s="186">
        <f t="shared" si="3"/>
        <v>818000</v>
      </c>
      <c r="AA13" s="186">
        <f t="shared" si="3"/>
        <v>467000</v>
      </c>
      <c r="AB13" s="186">
        <f t="shared" si="3"/>
        <v>866000</v>
      </c>
      <c r="AC13" s="186">
        <f t="shared" si="3"/>
        <v>485000</v>
      </c>
      <c r="AD13" s="186">
        <f t="shared" si="3"/>
        <v>6636000</v>
      </c>
      <c r="AE13" s="38"/>
      <c r="AF13" s="186">
        <f t="shared" si="3"/>
        <v>926000</v>
      </c>
      <c r="AG13" s="186">
        <f t="shared" si="3"/>
        <v>1087000</v>
      </c>
      <c r="AH13" s="186">
        <f t="shared" si="3"/>
        <v>998000</v>
      </c>
      <c r="AI13" s="186">
        <f t="shared" si="3"/>
        <v>1379000</v>
      </c>
      <c r="AJ13" s="186">
        <f t="shared" si="3"/>
        <v>1070000</v>
      </c>
      <c r="AK13" s="186">
        <f t="shared" si="3"/>
        <v>1201000</v>
      </c>
      <c r="AL13" s="186">
        <f t="shared" si="3"/>
        <v>1142000</v>
      </c>
      <c r="AM13" s="186">
        <f t="shared" si="3"/>
        <v>1273000</v>
      </c>
      <c r="AN13" s="186">
        <f t="shared" si="3"/>
        <v>1464000</v>
      </c>
      <c r="AO13" s="186">
        <f t="shared" si="3"/>
        <v>1375000</v>
      </c>
      <c r="AP13" s="186">
        <f t="shared" si="3"/>
        <v>1286000</v>
      </c>
      <c r="AQ13" s="186">
        <f t="shared" si="3"/>
        <v>1447000</v>
      </c>
      <c r="AR13" s="186">
        <f t="shared" si="3"/>
        <v>14648000</v>
      </c>
    </row>
    <row r="14" spans="1:44" ht="16.05" customHeight="1" x14ac:dyDescent="0.3">
      <c r="A14" s="108"/>
      <c r="B14" s="109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38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38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ht="12.75" customHeight="1" x14ac:dyDescent="0.3">
      <c r="A15" s="111"/>
      <c r="B15" s="112" t="s">
        <v>16</v>
      </c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38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38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ht="16.05" customHeight="1" x14ac:dyDescent="0.3">
      <c r="A16" s="113"/>
      <c r="B16" s="114" t="s">
        <v>54</v>
      </c>
      <c r="C16" s="188"/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9">
        <f t="shared" ref="P16:P19" si="4">SUM(C16:O16)</f>
        <v>0</v>
      </c>
      <c r="Q16" s="3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</v>
      </c>
      <c r="AA16" s="188">
        <v>0</v>
      </c>
      <c r="AB16" s="188">
        <v>0</v>
      </c>
      <c r="AC16" s="188">
        <v>0</v>
      </c>
      <c r="AD16" s="188">
        <f t="shared" ref="AD16:AD19" si="5">SUM(R16:AC16)</f>
        <v>0</v>
      </c>
      <c r="AE16" s="38"/>
      <c r="AF16" s="186">
        <v>0</v>
      </c>
      <c r="AG16" s="186">
        <v>0</v>
      </c>
      <c r="AH16" s="186">
        <v>0</v>
      </c>
      <c r="AI16" s="186">
        <v>0</v>
      </c>
      <c r="AJ16" s="186">
        <v>0</v>
      </c>
      <c r="AK16" s="186">
        <v>0</v>
      </c>
      <c r="AL16" s="186">
        <v>0</v>
      </c>
      <c r="AM16" s="186">
        <v>0</v>
      </c>
      <c r="AN16" s="186">
        <v>0</v>
      </c>
      <c r="AO16" s="186">
        <v>0</v>
      </c>
      <c r="AP16" s="186">
        <v>0</v>
      </c>
      <c r="AQ16" s="186">
        <v>0</v>
      </c>
      <c r="AR16" s="186">
        <f t="shared" ref="AR16:AR19" si="6">SUM(AF16:AQ16)</f>
        <v>0</v>
      </c>
    </row>
    <row r="17" spans="1:44" ht="16.05" customHeight="1" x14ac:dyDescent="0.3">
      <c r="A17" s="113"/>
      <c r="B17" s="114" t="s">
        <v>59</v>
      </c>
      <c r="C17" s="188"/>
      <c r="D17" s="188">
        <f>D10*0.05</f>
        <v>1500</v>
      </c>
      <c r="E17" s="188">
        <f t="shared" ref="E17:O17" si="7">E10*0.05</f>
        <v>0</v>
      </c>
      <c r="F17" s="188">
        <f t="shared" si="7"/>
        <v>0</v>
      </c>
      <c r="G17" s="188">
        <f t="shared" si="7"/>
        <v>7750</v>
      </c>
      <c r="H17" s="188">
        <f t="shared" si="7"/>
        <v>0</v>
      </c>
      <c r="I17" s="188">
        <f t="shared" si="7"/>
        <v>25000</v>
      </c>
      <c r="J17" s="188">
        <f t="shared" si="7"/>
        <v>2100</v>
      </c>
      <c r="K17" s="188">
        <f t="shared" si="7"/>
        <v>7450</v>
      </c>
      <c r="L17" s="188">
        <f t="shared" si="7"/>
        <v>3300</v>
      </c>
      <c r="M17" s="188">
        <f t="shared" si="7"/>
        <v>2400</v>
      </c>
      <c r="N17" s="188">
        <f t="shared" si="7"/>
        <v>4500</v>
      </c>
      <c r="O17" s="188">
        <f t="shared" si="7"/>
        <v>9850</v>
      </c>
      <c r="P17" s="189">
        <f t="shared" si="4"/>
        <v>63850</v>
      </c>
      <c r="Q17" s="38"/>
      <c r="R17" s="188">
        <f t="shared" ref="R17:AC17" si="8">R10*0.05</f>
        <v>31300</v>
      </c>
      <c r="S17" s="188">
        <f t="shared" si="8"/>
        <v>12250</v>
      </c>
      <c r="T17" s="188">
        <f t="shared" si="8"/>
        <v>32200</v>
      </c>
      <c r="U17" s="188">
        <f t="shared" si="8"/>
        <v>20900</v>
      </c>
      <c r="V17" s="188">
        <f t="shared" si="8"/>
        <v>34600</v>
      </c>
      <c r="W17" s="188">
        <f t="shared" si="8"/>
        <v>17050</v>
      </c>
      <c r="X17" s="188">
        <f t="shared" si="8"/>
        <v>37000</v>
      </c>
      <c r="Y17" s="188">
        <f t="shared" si="8"/>
        <v>14700</v>
      </c>
      <c r="Z17" s="188">
        <f t="shared" si="8"/>
        <v>40900</v>
      </c>
      <c r="AA17" s="188">
        <f t="shared" si="8"/>
        <v>23350</v>
      </c>
      <c r="AB17" s="188">
        <f t="shared" si="8"/>
        <v>43300</v>
      </c>
      <c r="AC17" s="188">
        <f t="shared" si="8"/>
        <v>24250</v>
      </c>
      <c r="AD17" s="188">
        <f t="shared" si="5"/>
        <v>331800</v>
      </c>
      <c r="AE17" s="38"/>
      <c r="AF17" s="186">
        <f t="shared" ref="AF17:AQ17" si="9">AF10*0.05</f>
        <v>46300</v>
      </c>
      <c r="AG17" s="186">
        <f t="shared" si="9"/>
        <v>54350</v>
      </c>
      <c r="AH17" s="186">
        <f t="shared" si="9"/>
        <v>49900</v>
      </c>
      <c r="AI17" s="186">
        <f t="shared" si="9"/>
        <v>68950</v>
      </c>
      <c r="AJ17" s="186">
        <f t="shared" si="9"/>
        <v>53500</v>
      </c>
      <c r="AK17" s="186">
        <f t="shared" si="9"/>
        <v>60050</v>
      </c>
      <c r="AL17" s="186">
        <f t="shared" si="9"/>
        <v>57100</v>
      </c>
      <c r="AM17" s="186">
        <f t="shared" si="9"/>
        <v>63650</v>
      </c>
      <c r="AN17" s="186">
        <f t="shared" si="9"/>
        <v>73200</v>
      </c>
      <c r="AO17" s="186">
        <f t="shared" si="9"/>
        <v>68750</v>
      </c>
      <c r="AP17" s="186">
        <f t="shared" si="9"/>
        <v>64300</v>
      </c>
      <c r="AQ17" s="186">
        <f t="shared" si="9"/>
        <v>72350</v>
      </c>
      <c r="AR17" s="186">
        <f t="shared" si="6"/>
        <v>732400</v>
      </c>
    </row>
    <row r="18" spans="1:44" ht="16.05" customHeight="1" x14ac:dyDescent="0.3">
      <c r="A18" s="113"/>
      <c r="B18" s="114" t="s">
        <v>92</v>
      </c>
      <c r="C18" s="188"/>
      <c r="D18" s="188">
        <f>('Sales forecast'!E18+'Sales forecast'!E19+'Sales forecast'!E20)*0.6</f>
        <v>18000</v>
      </c>
      <c r="E18" s="188">
        <f>('Sales forecast'!F18+'Sales forecast'!F19+'Sales forecast'!F20)*0.6</f>
        <v>0</v>
      </c>
      <c r="F18" s="188">
        <f>('Sales forecast'!G18+'Sales forecast'!G19+'Sales forecast'!G20)*0.6</f>
        <v>0</v>
      </c>
      <c r="G18" s="188">
        <f>('Sales forecast'!H18+'Sales forecast'!H19+'Sales forecast'!H20)*0.6</f>
        <v>93000</v>
      </c>
      <c r="H18" s="188">
        <f>('Sales forecast'!I18+'Sales forecast'!I19+'Sales forecast'!I20)*0.6</f>
        <v>0</v>
      </c>
      <c r="I18" s="188">
        <f>('Sales forecast'!J18+'Sales forecast'!J19+'Sales forecast'!J20)*0.6</f>
        <v>0</v>
      </c>
      <c r="J18" s="188">
        <f>('Sales forecast'!K18+'Sales forecast'!K19+'Sales forecast'!K20)*0.6</f>
        <v>18000</v>
      </c>
      <c r="K18" s="188">
        <f>('Sales forecast'!L18+'Sales forecast'!L19+'Sales forecast'!L20)*0.6</f>
        <v>75000</v>
      </c>
      <c r="L18" s="188">
        <f>('Sales forecast'!M18+'Sales forecast'!M19+'Sales forecast'!M20)*0.6</f>
        <v>18000</v>
      </c>
      <c r="M18" s="188">
        <f>('Sales forecast'!N18+'Sales forecast'!N19+'Sales forecast'!N20)*0.6</f>
        <v>0</v>
      </c>
      <c r="N18" s="188">
        <f>('Sales forecast'!O18+'Sales forecast'!O19+'Sales forecast'!O20)*0.6</f>
        <v>18000</v>
      </c>
      <c r="O18" s="188">
        <f>('Sales forecast'!P18+'Sales forecast'!P19+'Sales forecast'!P20)*0.6</f>
        <v>75000</v>
      </c>
      <c r="P18" s="189">
        <f t="shared" si="4"/>
        <v>315000</v>
      </c>
      <c r="Q18" s="38"/>
      <c r="R18" s="188">
        <f>('Sales forecast'!T18+'Sales forecast'!T19+'Sales forecast'!T20)*0.6</f>
        <v>18000</v>
      </c>
      <c r="S18" s="188">
        <f>('Sales forecast'!U18+'Sales forecast'!U19+'Sales forecast'!U20)*0.6</f>
        <v>75000</v>
      </c>
      <c r="T18" s="188">
        <f>('Sales forecast'!V18+'Sales forecast'!V19+'Sales forecast'!V20)*0.6</f>
        <v>0</v>
      </c>
      <c r="U18" s="188">
        <f>('Sales forecast'!W18+'Sales forecast'!W19+'Sales forecast'!W20)*0.6</f>
        <v>150000</v>
      </c>
      <c r="V18" s="188">
        <f>('Sales forecast'!X18+'Sales forecast'!X19+'Sales forecast'!X20)*0.6</f>
        <v>0</v>
      </c>
      <c r="W18" s="188">
        <f>('Sales forecast'!Y18+'Sales forecast'!Y19+'Sales forecast'!Y20)*0.6</f>
        <v>75000</v>
      </c>
      <c r="X18" s="188">
        <f>('Sales forecast'!Z18+'Sales forecast'!Z19+'Sales forecast'!Z20)*0.6</f>
        <v>0</v>
      </c>
      <c r="Y18" s="188">
        <f>('Sales forecast'!AA18+'Sales forecast'!AA19+'Sales forecast'!AA20)*0.6</f>
        <v>18000</v>
      </c>
      <c r="Z18" s="188">
        <f>('Sales forecast'!AB18+'Sales forecast'!AB19+'Sales forecast'!AB20)*0.6</f>
        <v>18000</v>
      </c>
      <c r="AA18" s="188">
        <f>('Sales forecast'!AC18+'Sales forecast'!AC19+'Sales forecast'!AC20)*0.6</f>
        <v>93000</v>
      </c>
      <c r="AB18" s="188">
        <f>('Sales forecast'!AD18+'Sales forecast'!AD19+'Sales forecast'!AD20)*0.6</f>
        <v>18000</v>
      </c>
      <c r="AC18" s="188">
        <f>('Sales forecast'!AE18+'Sales forecast'!AE19+'Sales forecast'!AE20)*0.6</f>
        <v>75000</v>
      </c>
      <c r="AD18" s="188">
        <f t="shared" si="5"/>
        <v>540000</v>
      </c>
      <c r="AE18" s="38"/>
      <c r="AF18" s="186">
        <f>('Sales forecast'!AJ18+'Sales forecast'!AJ19+'Sales forecast'!AJ20)*0.6</f>
        <v>18000</v>
      </c>
      <c r="AG18" s="186">
        <f>('Sales forecast'!AK18+'Sales forecast'!AK19+'Sales forecast'!AK20)*0.6</f>
        <v>93000</v>
      </c>
      <c r="AH18" s="186">
        <f>('Sales forecast'!AL18+'Sales forecast'!AL19+'Sales forecast'!AL20)*0.6</f>
        <v>18000</v>
      </c>
      <c r="AI18" s="186">
        <f>('Sales forecast'!AM18+'Sales forecast'!AM19+'Sales forecast'!AM20)*0.6</f>
        <v>225000</v>
      </c>
      <c r="AJ18" s="186">
        <f>('Sales forecast'!AN18+'Sales forecast'!AN19+'Sales forecast'!AN20)*0.6</f>
        <v>18000</v>
      </c>
      <c r="AK18" s="186">
        <f>('Sales forecast'!AO18+'Sales forecast'!AO19+'Sales forecast'!AO20)*0.6</f>
        <v>75000</v>
      </c>
      <c r="AL18" s="186">
        <f>('Sales forecast'!AP18+'Sales forecast'!AP19+'Sales forecast'!AP20)*0.6</f>
        <v>18000</v>
      </c>
      <c r="AM18" s="186">
        <f>('Sales forecast'!AQ18+'Sales forecast'!AQ19+'Sales forecast'!AQ20)*0.6</f>
        <v>75000</v>
      </c>
      <c r="AN18" s="186">
        <f>('Sales forecast'!AR18+'Sales forecast'!AR19+'Sales forecast'!AR20)*0.6</f>
        <v>168000</v>
      </c>
      <c r="AO18" s="186">
        <f>('Sales forecast'!AS18+'Sales forecast'!AS19+'Sales forecast'!AS20)*0.6</f>
        <v>93000</v>
      </c>
      <c r="AP18" s="186">
        <f>('Sales forecast'!AT18+'Sales forecast'!AT19+'Sales forecast'!AT20)*0.6</f>
        <v>18000</v>
      </c>
      <c r="AQ18" s="186">
        <f>('Sales forecast'!AU18+'Sales forecast'!AU19+'Sales forecast'!AU20)*0.6</f>
        <v>93000</v>
      </c>
      <c r="AR18" s="186">
        <f t="shared" si="6"/>
        <v>912000</v>
      </c>
    </row>
    <row r="19" spans="1:44" ht="16.05" customHeight="1" x14ac:dyDescent="0.3">
      <c r="A19" s="113"/>
      <c r="B19" s="114" t="s">
        <v>93</v>
      </c>
      <c r="C19" s="188"/>
      <c r="D19" s="188">
        <f>('Sales forecast'!E21+'Sales forecast'!E22+'Sales forecast'!E23)*0.6</f>
        <v>0</v>
      </c>
      <c r="E19" s="188">
        <f>('Sales forecast'!F21+'Sales forecast'!F22+'Sales forecast'!F23)*0.6</f>
        <v>0</v>
      </c>
      <c r="F19" s="188">
        <f>('Sales forecast'!G21+'Sales forecast'!G22+'Sales forecast'!G23)*0.6</f>
        <v>0</v>
      </c>
      <c r="G19" s="188">
        <f>('Sales forecast'!H21+'Sales forecast'!H22+'Sales forecast'!H23)*0.6</f>
        <v>0</v>
      </c>
      <c r="H19" s="188">
        <f>('Sales forecast'!I21+'Sales forecast'!I22+'Sales forecast'!I23)*0.6</f>
        <v>0</v>
      </c>
      <c r="I19" s="188">
        <f>('Sales forecast'!J21+'Sales forecast'!J22+'Sales forecast'!J23)*0.6</f>
        <v>300000</v>
      </c>
      <c r="J19" s="188">
        <f>('Sales forecast'!K21+'Sales forecast'!K22+'Sales forecast'!K23)*0.6</f>
        <v>7200</v>
      </c>
      <c r="K19" s="188">
        <f>('Sales forecast'!L21+'Sales forecast'!L22+'Sales forecast'!L23)*0.6</f>
        <v>14400</v>
      </c>
      <c r="L19" s="188">
        <f>('Sales forecast'!M21+'Sales forecast'!M22+'Sales forecast'!M23)*0.6</f>
        <v>21600</v>
      </c>
      <c r="M19" s="188">
        <f>('Sales forecast'!N21+'Sales forecast'!N22+'Sales forecast'!N23)*0.6</f>
        <v>28800</v>
      </c>
      <c r="N19" s="188">
        <f>('Sales forecast'!O21+'Sales forecast'!O22+'Sales forecast'!O23)*0.6</f>
        <v>36000</v>
      </c>
      <c r="O19" s="188">
        <f>('Sales forecast'!P21+'Sales forecast'!P22+'Sales forecast'!P23)*0.6</f>
        <v>43200</v>
      </c>
      <c r="P19" s="189">
        <f t="shared" si="4"/>
        <v>451200</v>
      </c>
      <c r="Q19" s="38"/>
      <c r="R19" s="188">
        <f>('Sales forecast'!T21+'Sales forecast'!T22+'Sales forecast'!T23)*0.6</f>
        <v>357600</v>
      </c>
      <c r="S19" s="188">
        <f>('Sales forecast'!U21+'Sales forecast'!U22+'Sales forecast'!U23)*0.6</f>
        <v>72000</v>
      </c>
      <c r="T19" s="188">
        <f>('Sales forecast'!V21+'Sales forecast'!V22+'Sales forecast'!V23)*0.6</f>
        <v>386400</v>
      </c>
      <c r="U19" s="188">
        <f>('Sales forecast'!W21+'Sales forecast'!W22+'Sales forecast'!W23)*0.6</f>
        <v>100800</v>
      </c>
      <c r="V19" s="188">
        <f>('Sales forecast'!X21+'Sales forecast'!X22+'Sales forecast'!X23)*0.6</f>
        <v>415200</v>
      </c>
      <c r="W19" s="188">
        <f>('Sales forecast'!Y21+'Sales forecast'!Y22+'Sales forecast'!Y23)*0.6</f>
        <v>129600</v>
      </c>
      <c r="X19" s="188">
        <f>('Sales forecast'!Z21+'Sales forecast'!Z22+'Sales forecast'!Z23)*0.6</f>
        <v>444000</v>
      </c>
      <c r="Y19" s="188">
        <f>('Sales forecast'!AA21+'Sales forecast'!AA22+'Sales forecast'!AA23)*0.6</f>
        <v>158400</v>
      </c>
      <c r="Z19" s="188">
        <f>('Sales forecast'!AB21+'Sales forecast'!AB22+'Sales forecast'!AB23)*0.6</f>
        <v>472800</v>
      </c>
      <c r="AA19" s="188">
        <f>('Sales forecast'!AC21+'Sales forecast'!AC22+'Sales forecast'!AC23)*0.6</f>
        <v>187200</v>
      </c>
      <c r="AB19" s="188">
        <f>('Sales forecast'!AD21+'Sales forecast'!AD22+'Sales forecast'!AD23)*0.6</f>
        <v>501600</v>
      </c>
      <c r="AC19" s="188">
        <f>('Sales forecast'!AE21+'Sales forecast'!AE22+'Sales forecast'!AE23)*0.6</f>
        <v>216000</v>
      </c>
      <c r="AD19" s="188">
        <f t="shared" si="5"/>
        <v>3441600</v>
      </c>
      <c r="AE19" s="38"/>
      <c r="AF19" s="186">
        <f>('Sales forecast'!AJ21+'Sales forecast'!AJ22+'Sales forecast'!AJ23)*0.6</f>
        <v>537600</v>
      </c>
      <c r="AG19" s="186">
        <f>('Sales forecast'!AK21+'Sales forecast'!AK22+'Sales forecast'!AK23)*0.6</f>
        <v>559200</v>
      </c>
      <c r="AH19" s="186">
        <f>('Sales forecast'!AL21+'Sales forecast'!AL22+'Sales forecast'!AL23)*0.6</f>
        <v>580800</v>
      </c>
      <c r="AI19" s="186">
        <f>('Sales forecast'!AM21+'Sales forecast'!AM22+'Sales forecast'!AM23)*0.6</f>
        <v>602400</v>
      </c>
      <c r="AJ19" s="186">
        <f>('Sales forecast'!AN21+'Sales forecast'!AN22+'Sales forecast'!AN23)*0.6</f>
        <v>624000</v>
      </c>
      <c r="AK19" s="186">
        <f>('Sales forecast'!AO21+'Sales forecast'!AO22+'Sales forecast'!AO23)*0.6</f>
        <v>645600</v>
      </c>
      <c r="AL19" s="186">
        <f>('Sales forecast'!AP21+'Sales forecast'!AP22+'Sales forecast'!AP23)*0.6</f>
        <v>667200</v>
      </c>
      <c r="AM19" s="186">
        <f>('Sales forecast'!AQ21+'Sales forecast'!AQ22+'Sales forecast'!AQ23)*0.6</f>
        <v>688800</v>
      </c>
      <c r="AN19" s="186">
        <f>('Sales forecast'!AR21+'Sales forecast'!AR22+'Sales forecast'!AR23)*0.6</f>
        <v>710400</v>
      </c>
      <c r="AO19" s="186">
        <f>('Sales forecast'!AS21+'Sales forecast'!AS22+'Sales forecast'!AS23)*0.6</f>
        <v>732000</v>
      </c>
      <c r="AP19" s="186">
        <f>('Sales forecast'!AT21+'Sales forecast'!AT22+'Sales forecast'!AT23)*0.6</f>
        <v>753600</v>
      </c>
      <c r="AQ19" s="186">
        <f>('Sales forecast'!AU21+'Sales forecast'!AU22+'Sales forecast'!AU23)*0.6</f>
        <v>775200</v>
      </c>
      <c r="AR19" s="186">
        <f t="shared" si="6"/>
        <v>7876800</v>
      </c>
    </row>
    <row r="20" spans="1:44" ht="16.05" customHeight="1" x14ac:dyDescent="0.3">
      <c r="A20" s="113"/>
      <c r="B20" s="135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3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38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ht="16.05" customHeight="1" x14ac:dyDescent="0.3">
      <c r="A21" s="113"/>
      <c r="B21" s="115" t="s">
        <v>18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38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38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ht="16.05" customHeight="1" x14ac:dyDescent="0.3">
      <c r="A22" s="113"/>
      <c r="B22" s="141" t="s">
        <v>60</v>
      </c>
      <c r="C22" s="188"/>
      <c r="D22" s="188">
        <v>500</v>
      </c>
      <c r="E22" s="188">
        <v>500</v>
      </c>
      <c r="F22" s="188">
        <v>500</v>
      </c>
      <c r="G22" s="188">
        <v>500</v>
      </c>
      <c r="H22" s="188">
        <v>500</v>
      </c>
      <c r="I22" s="188">
        <v>500</v>
      </c>
      <c r="J22" s="188">
        <v>500</v>
      </c>
      <c r="K22" s="188">
        <v>500</v>
      </c>
      <c r="L22" s="188">
        <v>500</v>
      </c>
      <c r="M22" s="188">
        <v>500</v>
      </c>
      <c r="N22" s="188">
        <v>500</v>
      </c>
      <c r="O22" s="188">
        <v>500</v>
      </c>
      <c r="P22" s="188">
        <f t="shared" ref="P22:P36" si="10">SUM(C22:O22)</f>
        <v>6000</v>
      </c>
      <c r="Q22" s="38"/>
      <c r="R22" s="186">
        <v>2000</v>
      </c>
      <c r="S22" s="186">
        <v>2000</v>
      </c>
      <c r="T22" s="186">
        <v>2000</v>
      </c>
      <c r="U22" s="186">
        <v>2000</v>
      </c>
      <c r="V22" s="186">
        <v>2000</v>
      </c>
      <c r="W22" s="186">
        <v>2000</v>
      </c>
      <c r="X22" s="186">
        <v>2000</v>
      </c>
      <c r="Y22" s="186">
        <v>2000</v>
      </c>
      <c r="Z22" s="186">
        <v>2000</v>
      </c>
      <c r="AA22" s="186">
        <v>2000</v>
      </c>
      <c r="AB22" s="186">
        <v>2000</v>
      </c>
      <c r="AC22" s="186">
        <v>2000</v>
      </c>
      <c r="AD22" s="186">
        <f t="shared" ref="AD22:AD36" si="11">SUM(R22:AC22)</f>
        <v>24000</v>
      </c>
      <c r="AE22" s="38"/>
      <c r="AF22" s="186">
        <f>R22*1.03</f>
        <v>2060</v>
      </c>
      <c r="AG22" s="186">
        <f t="shared" ref="AG22:AQ34" si="12">S22*1.03</f>
        <v>2060</v>
      </c>
      <c r="AH22" s="186">
        <f t="shared" si="12"/>
        <v>2060</v>
      </c>
      <c r="AI22" s="186">
        <f t="shared" si="12"/>
        <v>2060</v>
      </c>
      <c r="AJ22" s="186">
        <f t="shared" si="12"/>
        <v>2060</v>
      </c>
      <c r="AK22" s="186">
        <f t="shared" si="12"/>
        <v>2060</v>
      </c>
      <c r="AL22" s="186">
        <f t="shared" si="12"/>
        <v>2060</v>
      </c>
      <c r="AM22" s="186">
        <f t="shared" si="12"/>
        <v>2060</v>
      </c>
      <c r="AN22" s="186">
        <f t="shared" si="12"/>
        <v>2060</v>
      </c>
      <c r="AO22" s="186">
        <f t="shared" si="12"/>
        <v>2060</v>
      </c>
      <c r="AP22" s="186">
        <f t="shared" si="12"/>
        <v>2060</v>
      </c>
      <c r="AQ22" s="186">
        <f t="shared" si="12"/>
        <v>2060</v>
      </c>
      <c r="AR22" s="186">
        <f t="shared" ref="AR22:AR36" si="13">SUM(AF22:AQ22)</f>
        <v>24720</v>
      </c>
    </row>
    <row r="23" spans="1:44" ht="16.05" customHeight="1" x14ac:dyDescent="0.3">
      <c r="A23" s="113"/>
      <c r="B23" s="141" t="s">
        <v>61</v>
      </c>
      <c r="C23" s="188"/>
      <c r="D23" s="188">
        <v>100</v>
      </c>
      <c r="E23" s="188">
        <v>100</v>
      </c>
      <c r="F23" s="188">
        <v>100</v>
      </c>
      <c r="G23" s="188">
        <v>100</v>
      </c>
      <c r="H23" s="188">
        <v>100</v>
      </c>
      <c r="I23" s="188">
        <v>100</v>
      </c>
      <c r="J23" s="188">
        <v>100</v>
      </c>
      <c r="K23" s="188">
        <v>100</v>
      </c>
      <c r="L23" s="188">
        <v>100</v>
      </c>
      <c r="M23" s="188">
        <v>100</v>
      </c>
      <c r="N23" s="188">
        <v>100</v>
      </c>
      <c r="O23" s="188">
        <v>100</v>
      </c>
      <c r="P23" s="188">
        <f t="shared" si="10"/>
        <v>1200</v>
      </c>
      <c r="Q23" s="38"/>
      <c r="R23" s="186">
        <f t="shared" ref="R23:R36" si="14">D23*1.03</f>
        <v>103</v>
      </c>
      <c r="S23" s="186">
        <f t="shared" ref="S23:AC34" si="15">E23*1.03</f>
        <v>103</v>
      </c>
      <c r="T23" s="186">
        <f t="shared" si="15"/>
        <v>103</v>
      </c>
      <c r="U23" s="186">
        <f t="shared" si="15"/>
        <v>103</v>
      </c>
      <c r="V23" s="186">
        <f t="shared" si="15"/>
        <v>103</v>
      </c>
      <c r="W23" s="186">
        <f t="shared" si="15"/>
        <v>103</v>
      </c>
      <c r="X23" s="186">
        <f t="shared" si="15"/>
        <v>103</v>
      </c>
      <c r="Y23" s="186">
        <f t="shared" si="15"/>
        <v>103</v>
      </c>
      <c r="Z23" s="186">
        <f t="shared" si="15"/>
        <v>103</v>
      </c>
      <c r="AA23" s="186">
        <f t="shared" si="15"/>
        <v>103</v>
      </c>
      <c r="AB23" s="186">
        <f t="shared" si="15"/>
        <v>103</v>
      </c>
      <c r="AC23" s="186">
        <f t="shared" si="15"/>
        <v>103</v>
      </c>
      <c r="AD23" s="186">
        <f t="shared" si="11"/>
        <v>1236</v>
      </c>
      <c r="AE23" s="38"/>
      <c r="AF23" s="186">
        <f t="shared" ref="AF23:AF36" si="16">R23*1.03</f>
        <v>106.09</v>
      </c>
      <c r="AG23" s="186">
        <f t="shared" si="12"/>
        <v>106.09</v>
      </c>
      <c r="AH23" s="186">
        <f t="shared" si="12"/>
        <v>106.09</v>
      </c>
      <c r="AI23" s="186">
        <f t="shared" si="12"/>
        <v>106.09</v>
      </c>
      <c r="AJ23" s="186">
        <f t="shared" si="12"/>
        <v>106.09</v>
      </c>
      <c r="AK23" s="186">
        <f t="shared" si="12"/>
        <v>106.09</v>
      </c>
      <c r="AL23" s="186">
        <f t="shared" si="12"/>
        <v>106.09</v>
      </c>
      <c r="AM23" s="186">
        <f t="shared" si="12"/>
        <v>106.09</v>
      </c>
      <c r="AN23" s="186">
        <f t="shared" si="12"/>
        <v>106.09</v>
      </c>
      <c r="AO23" s="186">
        <f t="shared" si="12"/>
        <v>106.09</v>
      </c>
      <c r="AP23" s="186">
        <f t="shared" si="12"/>
        <v>106.09</v>
      </c>
      <c r="AQ23" s="186">
        <f t="shared" si="12"/>
        <v>106.09</v>
      </c>
      <c r="AR23" s="186">
        <f t="shared" si="13"/>
        <v>1273.08</v>
      </c>
    </row>
    <row r="24" spans="1:44" ht="16.05" customHeight="1" x14ac:dyDescent="0.3">
      <c r="A24" s="113"/>
      <c r="B24" s="141" t="s">
        <v>49</v>
      </c>
      <c r="C24" s="188"/>
      <c r="D24" s="221"/>
      <c r="E24" s="221"/>
      <c r="F24" s="221"/>
      <c r="G24" s="188">
        <v>2000</v>
      </c>
      <c r="H24" s="188">
        <v>2000</v>
      </c>
      <c r="I24" s="188">
        <v>2000</v>
      </c>
      <c r="J24" s="188">
        <v>2000</v>
      </c>
      <c r="K24" s="188">
        <v>2000</v>
      </c>
      <c r="L24" s="188">
        <v>2000</v>
      </c>
      <c r="M24" s="188">
        <v>2000</v>
      </c>
      <c r="N24" s="188">
        <v>2000</v>
      </c>
      <c r="O24" s="188">
        <v>2000</v>
      </c>
      <c r="P24" s="188">
        <f t="shared" si="10"/>
        <v>18000</v>
      </c>
      <c r="Q24" s="38"/>
      <c r="R24" s="186">
        <v>4000</v>
      </c>
      <c r="S24" s="186">
        <v>4000</v>
      </c>
      <c r="T24" s="186">
        <v>4000</v>
      </c>
      <c r="U24" s="186">
        <v>4000</v>
      </c>
      <c r="V24" s="186">
        <v>4000</v>
      </c>
      <c r="W24" s="186">
        <v>4000</v>
      </c>
      <c r="X24" s="186">
        <v>4000</v>
      </c>
      <c r="Y24" s="186">
        <v>4000</v>
      </c>
      <c r="Z24" s="186">
        <v>4000</v>
      </c>
      <c r="AA24" s="186">
        <v>4000</v>
      </c>
      <c r="AB24" s="186">
        <v>4000</v>
      </c>
      <c r="AC24" s="186">
        <v>4000</v>
      </c>
      <c r="AD24" s="186">
        <f t="shared" si="11"/>
        <v>48000</v>
      </c>
      <c r="AE24" s="38"/>
      <c r="AF24" s="186">
        <f t="shared" si="16"/>
        <v>4120</v>
      </c>
      <c r="AG24" s="186">
        <f t="shared" si="12"/>
        <v>4120</v>
      </c>
      <c r="AH24" s="186">
        <f t="shared" si="12"/>
        <v>4120</v>
      </c>
      <c r="AI24" s="186">
        <f t="shared" si="12"/>
        <v>4120</v>
      </c>
      <c r="AJ24" s="186">
        <f t="shared" si="12"/>
        <v>4120</v>
      </c>
      <c r="AK24" s="186">
        <f t="shared" si="12"/>
        <v>4120</v>
      </c>
      <c r="AL24" s="186">
        <f t="shared" si="12"/>
        <v>4120</v>
      </c>
      <c r="AM24" s="186">
        <f t="shared" si="12"/>
        <v>4120</v>
      </c>
      <c r="AN24" s="186">
        <f t="shared" si="12"/>
        <v>4120</v>
      </c>
      <c r="AO24" s="186">
        <f t="shared" si="12"/>
        <v>4120</v>
      </c>
      <c r="AP24" s="186">
        <f t="shared" si="12"/>
        <v>4120</v>
      </c>
      <c r="AQ24" s="186">
        <f t="shared" si="12"/>
        <v>4120</v>
      </c>
      <c r="AR24" s="186">
        <f t="shared" si="13"/>
        <v>49440</v>
      </c>
    </row>
    <row r="25" spans="1:44" ht="16.05" customHeight="1" x14ac:dyDescent="0.3">
      <c r="A25" s="113"/>
      <c r="B25" s="141" t="s">
        <v>50</v>
      </c>
      <c r="C25" s="188"/>
      <c r="D25" s="221"/>
      <c r="E25" s="221"/>
      <c r="F25" s="221"/>
      <c r="G25" s="188">
        <f t="shared" ref="G25" si="17">G24*0.25</f>
        <v>500</v>
      </c>
      <c r="H25" s="188">
        <f t="shared" ref="H25:O25" si="18">H24*0.25</f>
        <v>500</v>
      </c>
      <c r="I25" s="188">
        <f t="shared" si="18"/>
        <v>500</v>
      </c>
      <c r="J25" s="188">
        <f t="shared" si="18"/>
        <v>500</v>
      </c>
      <c r="K25" s="188">
        <f t="shared" si="18"/>
        <v>500</v>
      </c>
      <c r="L25" s="188">
        <f t="shared" si="18"/>
        <v>500</v>
      </c>
      <c r="M25" s="188">
        <f t="shared" si="18"/>
        <v>500</v>
      </c>
      <c r="N25" s="188">
        <f t="shared" si="18"/>
        <v>500</v>
      </c>
      <c r="O25" s="188">
        <f t="shared" si="18"/>
        <v>500</v>
      </c>
      <c r="P25" s="188">
        <f t="shared" si="10"/>
        <v>4500</v>
      </c>
      <c r="Q25" s="38"/>
      <c r="R25" s="186">
        <f>R24*0.25</f>
        <v>1000</v>
      </c>
      <c r="S25" s="186">
        <f t="shared" ref="S25:T25" si="19">S24*0.25</f>
        <v>1000</v>
      </c>
      <c r="T25" s="186">
        <f t="shared" si="19"/>
        <v>1000</v>
      </c>
      <c r="U25" s="186">
        <f t="shared" si="15"/>
        <v>515</v>
      </c>
      <c r="V25" s="186">
        <f t="shared" si="15"/>
        <v>515</v>
      </c>
      <c r="W25" s="186">
        <f t="shared" si="15"/>
        <v>515</v>
      </c>
      <c r="X25" s="186">
        <f t="shared" si="15"/>
        <v>515</v>
      </c>
      <c r="Y25" s="186">
        <f t="shared" si="15"/>
        <v>515</v>
      </c>
      <c r="Z25" s="186">
        <f t="shared" si="15"/>
        <v>515</v>
      </c>
      <c r="AA25" s="186">
        <f t="shared" si="15"/>
        <v>515</v>
      </c>
      <c r="AB25" s="186">
        <f t="shared" si="15"/>
        <v>515</v>
      </c>
      <c r="AC25" s="186">
        <f t="shared" si="15"/>
        <v>515</v>
      </c>
      <c r="AD25" s="186">
        <f t="shared" si="11"/>
        <v>7635</v>
      </c>
      <c r="AE25" s="38"/>
      <c r="AF25" s="186">
        <f t="shared" si="16"/>
        <v>1030</v>
      </c>
      <c r="AG25" s="186">
        <f t="shared" si="12"/>
        <v>1030</v>
      </c>
      <c r="AH25" s="186">
        <f t="shared" si="12"/>
        <v>1030</v>
      </c>
      <c r="AI25" s="186">
        <f t="shared" si="12"/>
        <v>530.45000000000005</v>
      </c>
      <c r="AJ25" s="186">
        <f t="shared" si="12"/>
        <v>530.45000000000005</v>
      </c>
      <c r="AK25" s="186">
        <f t="shared" si="12"/>
        <v>530.45000000000005</v>
      </c>
      <c r="AL25" s="186">
        <f t="shared" si="12"/>
        <v>530.45000000000005</v>
      </c>
      <c r="AM25" s="186">
        <f t="shared" si="12"/>
        <v>530.45000000000005</v>
      </c>
      <c r="AN25" s="186">
        <f t="shared" si="12"/>
        <v>530.45000000000005</v>
      </c>
      <c r="AO25" s="186">
        <f t="shared" si="12"/>
        <v>530.45000000000005</v>
      </c>
      <c r="AP25" s="186">
        <f t="shared" si="12"/>
        <v>530.45000000000005</v>
      </c>
      <c r="AQ25" s="186">
        <f t="shared" si="12"/>
        <v>530.45000000000005</v>
      </c>
      <c r="AR25" s="186">
        <f t="shared" si="13"/>
        <v>7864.0499999999984</v>
      </c>
    </row>
    <row r="26" spans="1:44" ht="16.05" customHeight="1" x14ac:dyDescent="0.3">
      <c r="A26" s="113"/>
      <c r="B26" s="141" t="s">
        <v>62</v>
      </c>
      <c r="C26" s="188"/>
      <c r="D26" s="221"/>
      <c r="E26" s="221"/>
      <c r="F26" s="221"/>
      <c r="G26" s="188">
        <v>4000</v>
      </c>
      <c r="H26" s="188">
        <v>4000</v>
      </c>
      <c r="I26" s="188">
        <v>4000</v>
      </c>
      <c r="J26" s="188">
        <v>4000</v>
      </c>
      <c r="K26" s="188">
        <v>4000</v>
      </c>
      <c r="L26" s="188">
        <v>4000</v>
      </c>
      <c r="M26" s="188">
        <v>4000</v>
      </c>
      <c r="N26" s="188">
        <v>4000</v>
      </c>
      <c r="O26" s="188">
        <v>4000</v>
      </c>
      <c r="P26" s="188">
        <f t="shared" si="10"/>
        <v>36000</v>
      </c>
      <c r="Q26" s="38"/>
      <c r="R26" s="186">
        <v>8000</v>
      </c>
      <c r="S26" s="186">
        <v>8000</v>
      </c>
      <c r="T26" s="186">
        <v>8000</v>
      </c>
      <c r="U26" s="186">
        <v>8000</v>
      </c>
      <c r="V26" s="186">
        <v>8000</v>
      </c>
      <c r="W26" s="186">
        <v>8000</v>
      </c>
      <c r="X26" s="186">
        <v>8000</v>
      </c>
      <c r="Y26" s="186">
        <v>8000</v>
      </c>
      <c r="Z26" s="186">
        <v>8000</v>
      </c>
      <c r="AA26" s="186">
        <v>8000</v>
      </c>
      <c r="AB26" s="186">
        <v>8000</v>
      </c>
      <c r="AC26" s="186">
        <v>8000</v>
      </c>
      <c r="AD26" s="186">
        <f t="shared" si="11"/>
        <v>96000</v>
      </c>
      <c r="AE26" s="38"/>
      <c r="AF26" s="186">
        <f t="shared" si="16"/>
        <v>8240</v>
      </c>
      <c r="AG26" s="186">
        <f t="shared" si="12"/>
        <v>8240</v>
      </c>
      <c r="AH26" s="186">
        <f t="shared" si="12"/>
        <v>8240</v>
      </c>
      <c r="AI26" s="186">
        <f t="shared" si="12"/>
        <v>8240</v>
      </c>
      <c r="AJ26" s="186">
        <f t="shared" si="12"/>
        <v>8240</v>
      </c>
      <c r="AK26" s="186">
        <f t="shared" si="12"/>
        <v>8240</v>
      </c>
      <c r="AL26" s="186">
        <f t="shared" si="12"/>
        <v>8240</v>
      </c>
      <c r="AM26" s="186">
        <f t="shared" si="12"/>
        <v>8240</v>
      </c>
      <c r="AN26" s="186">
        <f t="shared" si="12"/>
        <v>8240</v>
      </c>
      <c r="AO26" s="186">
        <f t="shared" si="12"/>
        <v>8240</v>
      </c>
      <c r="AP26" s="186">
        <f t="shared" si="12"/>
        <v>8240</v>
      </c>
      <c r="AQ26" s="186">
        <f t="shared" si="12"/>
        <v>8240</v>
      </c>
      <c r="AR26" s="186">
        <f t="shared" si="13"/>
        <v>98880</v>
      </c>
    </row>
    <row r="27" spans="1:44" ht="16.05" customHeight="1" x14ac:dyDescent="0.3">
      <c r="A27" s="113"/>
      <c r="B27" s="141" t="s">
        <v>63</v>
      </c>
      <c r="C27" s="191"/>
      <c r="D27" s="221"/>
      <c r="E27" s="221"/>
      <c r="F27" s="221"/>
      <c r="G27" s="188">
        <f t="shared" ref="D27:O28" si="20">G26*0.25</f>
        <v>1000</v>
      </c>
      <c r="H27" s="188">
        <f t="shared" si="20"/>
        <v>1000</v>
      </c>
      <c r="I27" s="188">
        <f t="shared" si="20"/>
        <v>1000</v>
      </c>
      <c r="J27" s="188">
        <f t="shared" si="20"/>
        <v>1000</v>
      </c>
      <c r="K27" s="188">
        <f t="shared" si="20"/>
        <v>1000</v>
      </c>
      <c r="L27" s="188">
        <f t="shared" si="20"/>
        <v>1000</v>
      </c>
      <c r="M27" s="188">
        <f t="shared" si="20"/>
        <v>1000</v>
      </c>
      <c r="N27" s="188">
        <f t="shared" si="20"/>
        <v>1000</v>
      </c>
      <c r="O27" s="188">
        <f t="shared" si="20"/>
        <v>1000</v>
      </c>
      <c r="P27" s="188">
        <f t="shared" si="10"/>
        <v>9000</v>
      </c>
      <c r="Q27" s="38"/>
      <c r="R27" s="186">
        <f t="shared" ref="R27:T27" si="21">R26*0.25</f>
        <v>2000</v>
      </c>
      <c r="S27" s="186">
        <f t="shared" si="21"/>
        <v>2000</v>
      </c>
      <c r="T27" s="186">
        <f t="shared" si="21"/>
        <v>2000</v>
      </c>
      <c r="U27" s="186">
        <f>U26*0.25</f>
        <v>2000</v>
      </c>
      <c r="V27" s="186">
        <f t="shared" ref="V27:AC27" si="22">V26*0.25</f>
        <v>2000</v>
      </c>
      <c r="W27" s="186">
        <f t="shared" si="22"/>
        <v>2000</v>
      </c>
      <c r="X27" s="186">
        <f t="shared" si="22"/>
        <v>2000</v>
      </c>
      <c r="Y27" s="186">
        <f t="shared" si="22"/>
        <v>2000</v>
      </c>
      <c r="Z27" s="186">
        <f t="shared" si="22"/>
        <v>2000</v>
      </c>
      <c r="AA27" s="186">
        <f t="shared" si="22"/>
        <v>2000</v>
      </c>
      <c r="AB27" s="186">
        <f t="shared" si="22"/>
        <v>2000</v>
      </c>
      <c r="AC27" s="186">
        <f t="shared" si="22"/>
        <v>2000</v>
      </c>
      <c r="AD27" s="186">
        <f t="shared" si="11"/>
        <v>24000</v>
      </c>
      <c r="AE27" s="38"/>
      <c r="AF27" s="186">
        <f t="shared" si="16"/>
        <v>2060</v>
      </c>
      <c r="AG27" s="186">
        <f t="shared" si="12"/>
        <v>2060</v>
      </c>
      <c r="AH27" s="186">
        <f t="shared" si="12"/>
        <v>2060</v>
      </c>
      <c r="AI27" s="186">
        <f t="shared" si="12"/>
        <v>2060</v>
      </c>
      <c r="AJ27" s="186">
        <f t="shared" si="12"/>
        <v>2060</v>
      </c>
      <c r="AK27" s="186">
        <f t="shared" si="12"/>
        <v>2060</v>
      </c>
      <c r="AL27" s="186">
        <f t="shared" si="12"/>
        <v>2060</v>
      </c>
      <c r="AM27" s="186">
        <f t="shared" si="12"/>
        <v>2060</v>
      </c>
      <c r="AN27" s="186">
        <f t="shared" si="12"/>
        <v>2060</v>
      </c>
      <c r="AO27" s="186">
        <f t="shared" si="12"/>
        <v>2060</v>
      </c>
      <c r="AP27" s="186">
        <f t="shared" si="12"/>
        <v>2060</v>
      </c>
      <c r="AQ27" s="186">
        <f t="shared" si="12"/>
        <v>2060</v>
      </c>
      <c r="AR27" s="186">
        <f t="shared" si="13"/>
        <v>24720</v>
      </c>
    </row>
    <row r="28" spans="1:44" ht="16.05" customHeight="1" x14ac:dyDescent="0.3">
      <c r="A28" s="113" t="s">
        <v>17</v>
      </c>
      <c r="B28" s="141" t="s">
        <v>64</v>
      </c>
      <c r="C28" s="188"/>
      <c r="D28" s="188">
        <f t="shared" si="20"/>
        <v>0</v>
      </c>
      <c r="E28" s="188">
        <f t="shared" si="20"/>
        <v>0</v>
      </c>
      <c r="F28" s="188">
        <f t="shared" si="20"/>
        <v>0</v>
      </c>
      <c r="G28" s="188">
        <f t="shared" si="20"/>
        <v>250</v>
      </c>
      <c r="H28" s="188">
        <f t="shared" si="20"/>
        <v>250</v>
      </c>
      <c r="I28" s="188">
        <f t="shared" si="20"/>
        <v>250</v>
      </c>
      <c r="J28" s="188">
        <f t="shared" si="20"/>
        <v>250</v>
      </c>
      <c r="K28" s="188">
        <f t="shared" si="20"/>
        <v>250</v>
      </c>
      <c r="L28" s="188">
        <f t="shared" si="20"/>
        <v>250</v>
      </c>
      <c r="M28" s="188">
        <f t="shared" si="20"/>
        <v>250</v>
      </c>
      <c r="N28" s="188">
        <f t="shared" si="20"/>
        <v>250</v>
      </c>
      <c r="O28" s="188">
        <f t="shared" si="20"/>
        <v>250</v>
      </c>
      <c r="P28" s="188">
        <f t="shared" si="10"/>
        <v>2250</v>
      </c>
      <c r="Q28" s="38"/>
      <c r="R28" s="186">
        <f t="shared" si="14"/>
        <v>0</v>
      </c>
      <c r="S28" s="186">
        <f t="shared" si="15"/>
        <v>0</v>
      </c>
      <c r="T28" s="186">
        <f t="shared" si="15"/>
        <v>0</v>
      </c>
      <c r="U28" s="186">
        <f t="shared" si="15"/>
        <v>257.5</v>
      </c>
      <c r="V28" s="186">
        <f t="shared" si="15"/>
        <v>257.5</v>
      </c>
      <c r="W28" s="186">
        <f t="shared" si="15"/>
        <v>257.5</v>
      </c>
      <c r="X28" s="186">
        <f t="shared" si="15"/>
        <v>257.5</v>
      </c>
      <c r="Y28" s="186">
        <f t="shared" si="15"/>
        <v>257.5</v>
      </c>
      <c r="Z28" s="186">
        <f t="shared" si="15"/>
        <v>257.5</v>
      </c>
      <c r="AA28" s="186">
        <f t="shared" si="15"/>
        <v>257.5</v>
      </c>
      <c r="AB28" s="186">
        <f t="shared" si="15"/>
        <v>257.5</v>
      </c>
      <c r="AC28" s="186">
        <f t="shared" si="15"/>
        <v>257.5</v>
      </c>
      <c r="AD28" s="186">
        <f t="shared" si="11"/>
        <v>2317.5</v>
      </c>
      <c r="AE28" s="38"/>
      <c r="AF28" s="186">
        <f t="shared" si="16"/>
        <v>0</v>
      </c>
      <c r="AG28" s="186">
        <f t="shared" si="12"/>
        <v>0</v>
      </c>
      <c r="AH28" s="186">
        <f t="shared" si="12"/>
        <v>0</v>
      </c>
      <c r="AI28" s="186">
        <f t="shared" si="12"/>
        <v>265.22500000000002</v>
      </c>
      <c r="AJ28" s="186">
        <f t="shared" si="12"/>
        <v>265.22500000000002</v>
      </c>
      <c r="AK28" s="186">
        <f t="shared" si="12"/>
        <v>265.22500000000002</v>
      </c>
      <c r="AL28" s="186">
        <f t="shared" si="12"/>
        <v>265.22500000000002</v>
      </c>
      <c r="AM28" s="186">
        <f t="shared" si="12"/>
        <v>265.22500000000002</v>
      </c>
      <c r="AN28" s="186">
        <f t="shared" si="12"/>
        <v>265.22500000000002</v>
      </c>
      <c r="AO28" s="186">
        <f t="shared" si="12"/>
        <v>265.22500000000002</v>
      </c>
      <c r="AP28" s="186">
        <f t="shared" si="12"/>
        <v>265.22500000000002</v>
      </c>
      <c r="AQ28" s="186">
        <f t="shared" si="12"/>
        <v>265.22500000000002</v>
      </c>
      <c r="AR28" s="186">
        <f t="shared" si="13"/>
        <v>2387.0249999999996</v>
      </c>
    </row>
    <row r="29" spans="1:44" ht="16.05" customHeight="1" x14ac:dyDescent="0.3">
      <c r="A29" s="113" t="s">
        <v>17</v>
      </c>
      <c r="B29" s="141" t="s">
        <v>65</v>
      </c>
      <c r="C29" s="188"/>
      <c r="D29" s="188">
        <v>200</v>
      </c>
      <c r="E29" s="188">
        <v>200</v>
      </c>
      <c r="F29" s="188">
        <v>200</v>
      </c>
      <c r="G29" s="188">
        <v>200</v>
      </c>
      <c r="H29" s="188">
        <v>200</v>
      </c>
      <c r="I29" s="188">
        <v>200</v>
      </c>
      <c r="J29" s="188">
        <v>200</v>
      </c>
      <c r="K29" s="188">
        <v>200</v>
      </c>
      <c r="L29" s="188">
        <v>200</v>
      </c>
      <c r="M29" s="188">
        <v>200</v>
      </c>
      <c r="N29" s="188">
        <v>200</v>
      </c>
      <c r="O29" s="188">
        <v>200</v>
      </c>
      <c r="P29" s="188">
        <f t="shared" si="10"/>
        <v>2400</v>
      </c>
      <c r="Q29" s="38"/>
      <c r="R29" s="186">
        <f t="shared" si="14"/>
        <v>206</v>
      </c>
      <c r="S29" s="186">
        <f t="shared" si="15"/>
        <v>206</v>
      </c>
      <c r="T29" s="186">
        <f t="shared" si="15"/>
        <v>206</v>
      </c>
      <c r="U29" s="186">
        <f t="shared" si="15"/>
        <v>206</v>
      </c>
      <c r="V29" s="186">
        <f t="shared" si="15"/>
        <v>206</v>
      </c>
      <c r="W29" s="186">
        <f t="shared" si="15"/>
        <v>206</v>
      </c>
      <c r="X29" s="186">
        <f t="shared" si="15"/>
        <v>206</v>
      </c>
      <c r="Y29" s="186">
        <f t="shared" si="15"/>
        <v>206</v>
      </c>
      <c r="Z29" s="186">
        <f t="shared" si="15"/>
        <v>206</v>
      </c>
      <c r="AA29" s="186">
        <f t="shared" si="15"/>
        <v>206</v>
      </c>
      <c r="AB29" s="186">
        <f t="shared" si="15"/>
        <v>206</v>
      </c>
      <c r="AC29" s="186">
        <f t="shared" si="15"/>
        <v>206</v>
      </c>
      <c r="AD29" s="186">
        <f t="shared" si="11"/>
        <v>2472</v>
      </c>
      <c r="AE29" s="38"/>
      <c r="AF29" s="186">
        <f t="shared" si="16"/>
        <v>212.18</v>
      </c>
      <c r="AG29" s="186">
        <f t="shared" si="12"/>
        <v>212.18</v>
      </c>
      <c r="AH29" s="186">
        <f t="shared" si="12"/>
        <v>212.18</v>
      </c>
      <c r="AI29" s="186">
        <f t="shared" si="12"/>
        <v>212.18</v>
      </c>
      <c r="AJ29" s="186">
        <f t="shared" si="12"/>
        <v>212.18</v>
      </c>
      <c r="AK29" s="186">
        <f t="shared" si="12"/>
        <v>212.18</v>
      </c>
      <c r="AL29" s="186">
        <f t="shared" si="12"/>
        <v>212.18</v>
      </c>
      <c r="AM29" s="186">
        <f t="shared" si="12"/>
        <v>212.18</v>
      </c>
      <c r="AN29" s="186">
        <f t="shared" si="12"/>
        <v>212.18</v>
      </c>
      <c r="AO29" s="186">
        <f t="shared" si="12"/>
        <v>212.18</v>
      </c>
      <c r="AP29" s="186">
        <f t="shared" si="12"/>
        <v>212.18</v>
      </c>
      <c r="AQ29" s="186">
        <f t="shared" si="12"/>
        <v>212.18</v>
      </c>
      <c r="AR29" s="186">
        <f t="shared" si="13"/>
        <v>2546.16</v>
      </c>
    </row>
    <row r="30" spans="1:44" ht="16.05" customHeight="1" x14ac:dyDescent="0.3">
      <c r="A30" s="138"/>
      <c r="B30" s="141" t="s">
        <v>66</v>
      </c>
      <c r="C30" s="188"/>
      <c r="D30" s="188">
        <f>D29*0.25</f>
        <v>50</v>
      </c>
      <c r="E30" s="188">
        <f>E29*0.25</f>
        <v>50</v>
      </c>
      <c r="F30" s="188">
        <f t="shared" ref="F30:O30" si="23">F29*0.25</f>
        <v>50</v>
      </c>
      <c r="G30" s="188">
        <f t="shared" si="23"/>
        <v>50</v>
      </c>
      <c r="H30" s="188">
        <f t="shared" si="23"/>
        <v>50</v>
      </c>
      <c r="I30" s="188">
        <f t="shared" si="23"/>
        <v>50</v>
      </c>
      <c r="J30" s="188">
        <f t="shared" si="23"/>
        <v>50</v>
      </c>
      <c r="K30" s="188">
        <f t="shared" si="23"/>
        <v>50</v>
      </c>
      <c r="L30" s="188">
        <f t="shared" si="23"/>
        <v>50</v>
      </c>
      <c r="M30" s="188">
        <f t="shared" si="23"/>
        <v>50</v>
      </c>
      <c r="N30" s="188">
        <f t="shared" si="23"/>
        <v>50</v>
      </c>
      <c r="O30" s="188">
        <f t="shared" si="23"/>
        <v>50</v>
      </c>
      <c r="P30" s="188">
        <f t="shared" si="10"/>
        <v>600</v>
      </c>
      <c r="Q30" s="38"/>
      <c r="R30" s="186">
        <f t="shared" si="14"/>
        <v>51.5</v>
      </c>
      <c r="S30" s="186">
        <f t="shared" si="15"/>
        <v>51.5</v>
      </c>
      <c r="T30" s="186">
        <f t="shared" si="15"/>
        <v>51.5</v>
      </c>
      <c r="U30" s="186">
        <f t="shared" si="15"/>
        <v>51.5</v>
      </c>
      <c r="V30" s="186">
        <f t="shared" si="15"/>
        <v>51.5</v>
      </c>
      <c r="W30" s="186">
        <f t="shared" si="15"/>
        <v>51.5</v>
      </c>
      <c r="X30" s="186">
        <f t="shared" si="15"/>
        <v>51.5</v>
      </c>
      <c r="Y30" s="186">
        <f t="shared" si="15"/>
        <v>51.5</v>
      </c>
      <c r="Z30" s="186">
        <f t="shared" si="15"/>
        <v>51.5</v>
      </c>
      <c r="AA30" s="186">
        <f t="shared" si="15"/>
        <v>51.5</v>
      </c>
      <c r="AB30" s="186">
        <f t="shared" si="15"/>
        <v>51.5</v>
      </c>
      <c r="AC30" s="186">
        <f t="shared" si="15"/>
        <v>51.5</v>
      </c>
      <c r="AD30" s="186">
        <f t="shared" si="11"/>
        <v>618</v>
      </c>
      <c r="AE30" s="38"/>
      <c r="AF30" s="186">
        <f t="shared" si="16"/>
        <v>53.045000000000002</v>
      </c>
      <c r="AG30" s="186">
        <f t="shared" si="12"/>
        <v>53.045000000000002</v>
      </c>
      <c r="AH30" s="186">
        <f t="shared" si="12"/>
        <v>53.045000000000002</v>
      </c>
      <c r="AI30" s="186">
        <f t="shared" si="12"/>
        <v>53.045000000000002</v>
      </c>
      <c r="AJ30" s="186">
        <f t="shared" si="12"/>
        <v>53.045000000000002</v>
      </c>
      <c r="AK30" s="186">
        <f t="shared" si="12"/>
        <v>53.045000000000002</v>
      </c>
      <c r="AL30" s="186">
        <f t="shared" si="12"/>
        <v>53.045000000000002</v>
      </c>
      <c r="AM30" s="186">
        <f t="shared" si="12"/>
        <v>53.045000000000002</v>
      </c>
      <c r="AN30" s="186">
        <f t="shared" si="12"/>
        <v>53.045000000000002</v>
      </c>
      <c r="AO30" s="186">
        <f t="shared" si="12"/>
        <v>53.045000000000002</v>
      </c>
      <c r="AP30" s="186">
        <f t="shared" si="12"/>
        <v>53.045000000000002</v>
      </c>
      <c r="AQ30" s="186">
        <f t="shared" si="12"/>
        <v>53.045000000000002</v>
      </c>
      <c r="AR30" s="186">
        <f t="shared" si="13"/>
        <v>636.54</v>
      </c>
    </row>
    <row r="31" spans="1:44" ht="16.05" customHeight="1" x14ac:dyDescent="0.3">
      <c r="A31" s="138"/>
      <c r="B31" s="141" t="s">
        <v>88</v>
      </c>
      <c r="C31" s="188">
        <v>58000</v>
      </c>
      <c r="D31" s="221">
        <v>10000</v>
      </c>
      <c r="E31" s="221">
        <v>10000</v>
      </c>
      <c r="F31" s="221">
        <v>10000</v>
      </c>
      <c r="G31" s="188">
        <v>1000</v>
      </c>
      <c r="H31" s="188">
        <v>1000</v>
      </c>
      <c r="I31" s="188">
        <v>1000</v>
      </c>
      <c r="J31" s="188">
        <v>1000</v>
      </c>
      <c r="K31" s="188">
        <v>1000</v>
      </c>
      <c r="L31" s="188">
        <v>1000</v>
      </c>
      <c r="M31" s="188">
        <v>1000</v>
      </c>
      <c r="N31" s="188">
        <v>1000</v>
      </c>
      <c r="O31" s="188">
        <v>1000</v>
      </c>
      <c r="P31" s="188">
        <f t="shared" si="10"/>
        <v>97000</v>
      </c>
      <c r="Q31" s="38"/>
      <c r="R31" s="186">
        <v>1030</v>
      </c>
      <c r="S31" s="186">
        <v>1030</v>
      </c>
      <c r="T31" s="186">
        <v>1030</v>
      </c>
      <c r="U31" s="186">
        <v>1030</v>
      </c>
      <c r="V31" s="186">
        <v>1030</v>
      </c>
      <c r="W31" s="186">
        <v>1030</v>
      </c>
      <c r="X31" s="186">
        <v>1030</v>
      </c>
      <c r="Y31" s="186">
        <v>1030</v>
      </c>
      <c r="Z31" s="186">
        <v>1030</v>
      </c>
      <c r="AA31" s="186">
        <v>1030</v>
      </c>
      <c r="AB31" s="186">
        <v>1030</v>
      </c>
      <c r="AC31" s="186">
        <v>1030</v>
      </c>
      <c r="AD31" s="186">
        <f t="shared" si="11"/>
        <v>12360</v>
      </c>
      <c r="AE31" s="38"/>
      <c r="AF31" s="186">
        <f t="shared" si="16"/>
        <v>1060.9000000000001</v>
      </c>
      <c r="AG31" s="186">
        <f t="shared" si="12"/>
        <v>1060.9000000000001</v>
      </c>
      <c r="AH31" s="186">
        <f t="shared" si="12"/>
        <v>1060.9000000000001</v>
      </c>
      <c r="AI31" s="186">
        <f t="shared" si="12"/>
        <v>1060.9000000000001</v>
      </c>
      <c r="AJ31" s="186">
        <f t="shared" si="12"/>
        <v>1060.9000000000001</v>
      </c>
      <c r="AK31" s="186">
        <f t="shared" si="12"/>
        <v>1060.9000000000001</v>
      </c>
      <c r="AL31" s="186">
        <f t="shared" si="12"/>
        <v>1060.9000000000001</v>
      </c>
      <c r="AM31" s="186">
        <f t="shared" si="12"/>
        <v>1060.9000000000001</v>
      </c>
      <c r="AN31" s="186">
        <f t="shared" si="12"/>
        <v>1060.9000000000001</v>
      </c>
      <c r="AO31" s="186">
        <f t="shared" si="12"/>
        <v>1060.9000000000001</v>
      </c>
      <c r="AP31" s="186">
        <f t="shared" si="12"/>
        <v>1060.9000000000001</v>
      </c>
      <c r="AQ31" s="186">
        <f t="shared" si="12"/>
        <v>1060.9000000000001</v>
      </c>
      <c r="AR31" s="186">
        <f t="shared" si="13"/>
        <v>12730.799999999997</v>
      </c>
    </row>
    <row r="32" spans="1:44" ht="16.05" customHeight="1" x14ac:dyDescent="0.3">
      <c r="A32" s="138"/>
      <c r="B32" s="141" t="s">
        <v>97</v>
      </c>
      <c r="C32" s="188">
        <v>58000</v>
      </c>
      <c r="D32" s="221">
        <v>10000</v>
      </c>
      <c r="E32" s="221">
        <v>10000</v>
      </c>
      <c r="F32" s="221">
        <v>10000</v>
      </c>
      <c r="G32" s="188">
        <v>1500</v>
      </c>
      <c r="H32" s="188">
        <v>1500</v>
      </c>
      <c r="I32" s="188">
        <v>1500</v>
      </c>
      <c r="J32" s="188">
        <v>1500</v>
      </c>
      <c r="K32" s="188">
        <v>1500</v>
      </c>
      <c r="L32" s="188">
        <v>1500</v>
      </c>
      <c r="M32" s="188">
        <v>1500</v>
      </c>
      <c r="N32" s="188">
        <v>1500</v>
      </c>
      <c r="O32" s="188">
        <v>1500</v>
      </c>
      <c r="P32" s="188">
        <f t="shared" si="10"/>
        <v>101500</v>
      </c>
      <c r="Q32" s="38"/>
      <c r="R32" s="186">
        <v>5150</v>
      </c>
      <c r="S32" s="186">
        <v>5150</v>
      </c>
      <c r="T32" s="186">
        <v>5150</v>
      </c>
      <c r="U32" s="186">
        <v>5150</v>
      </c>
      <c r="V32" s="186">
        <v>5150</v>
      </c>
      <c r="W32" s="186">
        <v>5150</v>
      </c>
      <c r="X32" s="186">
        <v>5150</v>
      </c>
      <c r="Y32" s="186">
        <v>5150</v>
      </c>
      <c r="Z32" s="186">
        <v>5150</v>
      </c>
      <c r="AA32" s="186">
        <v>5150</v>
      </c>
      <c r="AB32" s="186">
        <v>5150</v>
      </c>
      <c r="AC32" s="186">
        <v>5150</v>
      </c>
      <c r="AD32" s="186">
        <f t="shared" si="11"/>
        <v>61800</v>
      </c>
      <c r="AE32" s="38"/>
      <c r="AF32" s="186">
        <f t="shared" si="16"/>
        <v>5304.5</v>
      </c>
      <c r="AG32" s="186">
        <f t="shared" si="12"/>
        <v>5304.5</v>
      </c>
      <c r="AH32" s="186">
        <f t="shared" si="12"/>
        <v>5304.5</v>
      </c>
      <c r="AI32" s="186">
        <f t="shared" si="12"/>
        <v>5304.5</v>
      </c>
      <c r="AJ32" s="186">
        <f t="shared" si="12"/>
        <v>5304.5</v>
      </c>
      <c r="AK32" s="186">
        <f t="shared" si="12"/>
        <v>5304.5</v>
      </c>
      <c r="AL32" s="186">
        <f t="shared" si="12"/>
        <v>5304.5</v>
      </c>
      <c r="AM32" s="186">
        <f t="shared" si="12"/>
        <v>5304.5</v>
      </c>
      <c r="AN32" s="186">
        <f t="shared" si="12"/>
        <v>5304.5</v>
      </c>
      <c r="AO32" s="186">
        <f t="shared" si="12"/>
        <v>5304.5</v>
      </c>
      <c r="AP32" s="186">
        <f t="shared" si="12"/>
        <v>5304.5</v>
      </c>
      <c r="AQ32" s="186">
        <f t="shared" si="12"/>
        <v>5304.5</v>
      </c>
      <c r="AR32" s="186">
        <f t="shared" si="13"/>
        <v>63654</v>
      </c>
    </row>
    <row r="33" spans="1:46" ht="16.05" customHeight="1" x14ac:dyDescent="0.3">
      <c r="A33" s="138"/>
      <c r="B33" s="141" t="s">
        <v>67</v>
      </c>
      <c r="C33" s="188">
        <v>1000</v>
      </c>
      <c r="D33" s="188">
        <v>150</v>
      </c>
      <c r="E33" s="188">
        <v>150</v>
      </c>
      <c r="F33" s="188">
        <v>150</v>
      </c>
      <c r="G33" s="188">
        <v>150</v>
      </c>
      <c r="H33" s="188">
        <v>150</v>
      </c>
      <c r="I33" s="188">
        <v>150</v>
      </c>
      <c r="J33" s="188">
        <v>150</v>
      </c>
      <c r="K33" s="188">
        <v>150</v>
      </c>
      <c r="L33" s="188">
        <v>150</v>
      </c>
      <c r="M33" s="188">
        <v>150</v>
      </c>
      <c r="N33" s="188">
        <v>150</v>
      </c>
      <c r="O33" s="188">
        <v>150</v>
      </c>
      <c r="P33" s="188">
        <f t="shared" si="10"/>
        <v>2800</v>
      </c>
      <c r="Q33" s="38"/>
      <c r="R33" s="186">
        <f t="shared" si="14"/>
        <v>154.5</v>
      </c>
      <c r="S33" s="186">
        <f t="shared" si="15"/>
        <v>154.5</v>
      </c>
      <c r="T33" s="186">
        <f t="shared" si="15"/>
        <v>154.5</v>
      </c>
      <c r="U33" s="186">
        <f t="shared" si="15"/>
        <v>154.5</v>
      </c>
      <c r="V33" s="186">
        <f t="shared" si="15"/>
        <v>154.5</v>
      </c>
      <c r="W33" s="186">
        <f t="shared" si="15"/>
        <v>154.5</v>
      </c>
      <c r="X33" s="186">
        <f t="shared" si="15"/>
        <v>154.5</v>
      </c>
      <c r="Y33" s="186">
        <f t="shared" si="15"/>
        <v>154.5</v>
      </c>
      <c r="Z33" s="186">
        <f t="shared" si="15"/>
        <v>154.5</v>
      </c>
      <c r="AA33" s="186">
        <f t="shared" si="15"/>
        <v>154.5</v>
      </c>
      <c r="AB33" s="186">
        <f t="shared" si="15"/>
        <v>154.5</v>
      </c>
      <c r="AC33" s="186">
        <f t="shared" si="15"/>
        <v>154.5</v>
      </c>
      <c r="AD33" s="186">
        <f t="shared" si="11"/>
        <v>1854</v>
      </c>
      <c r="AE33" s="38"/>
      <c r="AF33" s="186">
        <f t="shared" si="16"/>
        <v>159.13499999999999</v>
      </c>
      <c r="AG33" s="186">
        <f t="shared" si="12"/>
        <v>159.13499999999999</v>
      </c>
      <c r="AH33" s="186">
        <f t="shared" si="12"/>
        <v>159.13499999999999</v>
      </c>
      <c r="AI33" s="186">
        <f t="shared" si="12"/>
        <v>159.13499999999999</v>
      </c>
      <c r="AJ33" s="186">
        <f t="shared" si="12"/>
        <v>159.13499999999999</v>
      </c>
      <c r="AK33" s="186">
        <f t="shared" si="12"/>
        <v>159.13499999999999</v>
      </c>
      <c r="AL33" s="186">
        <f t="shared" si="12"/>
        <v>159.13499999999999</v>
      </c>
      <c r="AM33" s="186">
        <f t="shared" si="12"/>
        <v>159.13499999999999</v>
      </c>
      <c r="AN33" s="186">
        <f t="shared" si="12"/>
        <v>159.13499999999999</v>
      </c>
      <c r="AO33" s="186">
        <f t="shared" si="12"/>
        <v>159.13499999999999</v>
      </c>
      <c r="AP33" s="186">
        <f t="shared" si="12"/>
        <v>159.13499999999999</v>
      </c>
      <c r="AQ33" s="186">
        <f t="shared" si="12"/>
        <v>159.13499999999999</v>
      </c>
      <c r="AR33" s="186">
        <f t="shared" si="13"/>
        <v>1909.62</v>
      </c>
    </row>
    <row r="34" spans="1:46" ht="16.05" customHeight="1" x14ac:dyDescent="0.3">
      <c r="A34" s="138"/>
      <c r="B34" s="141" t="s">
        <v>69</v>
      </c>
      <c r="C34" s="188">
        <v>240</v>
      </c>
      <c r="D34" s="188">
        <v>150</v>
      </c>
      <c r="E34" s="188">
        <v>150</v>
      </c>
      <c r="F34" s="188">
        <v>150</v>
      </c>
      <c r="G34" s="188">
        <v>150</v>
      </c>
      <c r="H34" s="188">
        <v>150</v>
      </c>
      <c r="I34" s="188">
        <v>150</v>
      </c>
      <c r="J34" s="188">
        <v>150</v>
      </c>
      <c r="K34" s="188">
        <v>150</v>
      </c>
      <c r="L34" s="188">
        <v>150</v>
      </c>
      <c r="M34" s="188">
        <v>150</v>
      </c>
      <c r="N34" s="188">
        <v>150</v>
      </c>
      <c r="O34" s="188">
        <v>150</v>
      </c>
      <c r="P34" s="188">
        <f t="shared" si="10"/>
        <v>2040</v>
      </c>
      <c r="Q34" s="38"/>
      <c r="R34" s="186">
        <f t="shared" si="14"/>
        <v>154.5</v>
      </c>
      <c r="S34" s="186">
        <f t="shared" si="15"/>
        <v>154.5</v>
      </c>
      <c r="T34" s="186">
        <f t="shared" si="15"/>
        <v>154.5</v>
      </c>
      <c r="U34" s="186">
        <f t="shared" si="15"/>
        <v>154.5</v>
      </c>
      <c r="V34" s="186">
        <f t="shared" si="15"/>
        <v>154.5</v>
      </c>
      <c r="W34" s="186">
        <f t="shared" si="15"/>
        <v>154.5</v>
      </c>
      <c r="X34" s="186">
        <f t="shared" si="15"/>
        <v>154.5</v>
      </c>
      <c r="Y34" s="186">
        <f t="shared" si="15"/>
        <v>154.5</v>
      </c>
      <c r="Z34" s="186">
        <f t="shared" si="15"/>
        <v>154.5</v>
      </c>
      <c r="AA34" s="186">
        <f t="shared" si="15"/>
        <v>154.5</v>
      </c>
      <c r="AB34" s="186">
        <f t="shared" si="15"/>
        <v>154.5</v>
      </c>
      <c r="AC34" s="186">
        <f t="shared" si="15"/>
        <v>154.5</v>
      </c>
      <c r="AD34" s="186">
        <f t="shared" si="11"/>
        <v>1854</v>
      </c>
      <c r="AE34" s="38"/>
      <c r="AF34" s="186">
        <f t="shared" si="16"/>
        <v>159.13499999999999</v>
      </c>
      <c r="AG34" s="186">
        <f t="shared" si="12"/>
        <v>159.13499999999999</v>
      </c>
      <c r="AH34" s="186">
        <f t="shared" si="12"/>
        <v>159.13499999999999</v>
      </c>
      <c r="AI34" s="186">
        <f t="shared" si="12"/>
        <v>159.13499999999999</v>
      </c>
      <c r="AJ34" s="186">
        <f t="shared" si="12"/>
        <v>159.13499999999999</v>
      </c>
      <c r="AK34" s="186">
        <f t="shared" si="12"/>
        <v>159.13499999999999</v>
      </c>
      <c r="AL34" s="186">
        <f t="shared" si="12"/>
        <v>159.13499999999999</v>
      </c>
      <c r="AM34" s="186">
        <f t="shared" si="12"/>
        <v>159.13499999999999</v>
      </c>
      <c r="AN34" s="186">
        <f t="shared" si="12"/>
        <v>159.13499999999999</v>
      </c>
      <c r="AO34" s="186">
        <f t="shared" si="12"/>
        <v>159.13499999999999</v>
      </c>
      <c r="AP34" s="186">
        <f t="shared" si="12"/>
        <v>159.13499999999999</v>
      </c>
      <c r="AQ34" s="186">
        <f t="shared" si="12"/>
        <v>159.13499999999999</v>
      </c>
      <c r="AR34" s="186">
        <f t="shared" si="13"/>
        <v>1909.62</v>
      </c>
    </row>
    <row r="35" spans="1:46" ht="16.05" customHeight="1" x14ac:dyDescent="0.3">
      <c r="A35" s="138"/>
      <c r="B35" s="141" t="s">
        <v>68</v>
      </c>
      <c r="C35" s="188">
        <v>29000</v>
      </c>
      <c r="D35" s="221">
        <v>5000</v>
      </c>
      <c r="E35" s="221">
        <v>5000</v>
      </c>
      <c r="F35" s="221">
        <v>5000</v>
      </c>
      <c r="G35" s="188">
        <v>10000</v>
      </c>
      <c r="H35" s="188">
        <v>10000</v>
      </c>
      <c r="I35" s="188">
        <v>10000</v>
      </c>
      <c r="J35" s="188">
        <v>10000</v>
      </c>
      <c r="K35" s="188">
        <v>10000</v>
      </c>
      <c r="L35" s="188">
        <v>10000</v>
      </c>
      <c r="M35" s="188">
        <v>10000</v>
      </c>
      <c r="N35" s="188">
        <v>10000</v>
      </c>
      <c r="O35" s="188">
        <v>10000</v>
      </c>
      <c r="P35" s="188">
        <f t="shared" si="10"/>
        <v>134000</v>
      </c>
      <c r="Q35" s="38"/>
      <c r="R35" s="186">
        <v>12000</v>
      </c>
      <c r="S35" s="186">
        <v>12000</v>
      </c>
      <c r="T35" s="186">
        <v>12000</v>
      </c>
      <c r="U35" s="186">
        <v>12000</v>
      </c>
      <c r="V35" s="186">
        <v>12000</v>
      </c>
      <c r="W35" s="186">
        <v>12000</v>
      </c>
      <c r="X35" s="186">
        <v>12000</v>
      </c>
      <c r="Y35" s="186">
        <v>12000</v>
      </c>
      <c r="Z35" s="186">
        <v>12000</v>
      </c>
      <c r="AA35" s="186">
        <v>12000</v>
      </c>
      <c r="AB35" s="186">
        <v>12000</v>
      </c>
      <c r="AC35" s="186">
        <v>12000</v>
      </c>
      <c r="AD35" s="186">
        <f t="shared" si="11"/>
        <v>144000</v>
      </c>
      <c r="AE35" s="38"/>
      <c r="AF35" s="186">
        <v>15000</v>
      </c>
      <c r="AG35" s="186">
        <v>15000</v>
      </c>
      <c r="AH35" s="186">
        <v>15000</v>
      </c>
      <c r="AI35" s="186">
        <v>15000</v>
      </c>
      <c r="AJ35" s="186">
        <v>15000</v>
      </c>
      <c r="AK35" s="186">
        <v>15000</v>
      </c>
      <c r="AL35" s="186">
        <v>15000</v>
      </c>
      <c r="AM35" s="186">
        <v>15000</v>
      </c>
      <c r="AN35" s="186">
        <v>15000</v>
      </c>
      <c r="AO35" s="186">
        <v>15000</v>
      </c>
      <c r="AP35" s="186">
        <v>15000</v>
      </c>
      <c r="AQ35" s="186">
        <v>15000</v>
      </c>
      <c r="AR35" s="186">
        <f t="shared" si="13"/>
        <v>180000</v>
      </c>
    </row>
    <row r="36" spans="1:46" ht="16.05" customHeight="1" x14ac:dyDescent="0.3">
      <c r="A36" s="138"/>
      <c r="B36" s="141" t="s">
        <v>70</v>
      </c>
      <c r="C36" s="188">
        <v>2000</v>
      </c>
      <c r="D36" s="188">
        <v>300</v>
      </c>
      <c r="E36" s="188">
        <v>300</v>
      </c>
      <c r="F36" s="188">
        <v>300</v>
      </c>
      <c r="G36" s="188">
        <v>300</v>
      </c>
      <c r="H36" s="188">
        <v>300</v>
      </c>
      <c r="I36" s="188">
        <v>300</v>
      </c>
      <c r="J36" s="188">
        <v>300</v>
      </c>
      <c r="K36" s="188">
        <v>300</v>
      </c>
      <c r="L36" s="188">
        <v>300</v>
      </c>
      <c r="M36" s="188">
        <v>300</v>
      </c>
      <c r="N36" s="188">
        <v>300</v>
      </c>
      <c r="O36" s="188">
        <v>300</v>
      </c>
      <c r="P36" s="188">
        <f t="shared" si="10"/>
        <v>5600</v>
      </c>
      <c r="Q36" s="38"/>
      <c r="R36" s="186">
        <f t="shared" si="14"/>
        <v>309</v>
      </c>
      <c r="S36" s="186">
        <f t="shared" ref="S36" si="24">E36*1.03</f>
        <v>309</v>
      </c>
      <c r="T36" s="186">
        <f t="shared" ref="T36" si="25">F36*1.03</f>
        <v>309</v>
      </c>
      <c r="U36" s="186">
        <f t="shared" ref="U36" si="26">G36*1.03</f>
        <v>309</v>
      </c>
      <c r="V36" s="186">
        <f t="shared" ref="V36" si="27">H36*1.03</f>
        <v>309</v>
      </c>
      <c r="W36" s="186">
        <f t="shared" ref="W36" si="28">I36*1.03</f>
        <v>309</v>
      </c>
      <c r="X36" s="186">
        <f t="shared" ref="X36" si="29">J36*1.03</f>
        <v>309</v>
      </c>
      <c r="Y36" s="186">
        <f t="shared" ref="Y36" si="30">K36*1.03</f>
        <v>309</v>
      </c>
      <c r="Z36" s="186">
        <f t="shared" ref="Z36" si="31">L36*1.03</f>
        <v>309</v>
      </c>
      <c r="AA36" s="186">
        <f t="shared" ref="AA36" si="32">M36*1.03</f>
        <v>309</v>
      </c>
      <c r="AB36" s="186">
        <f t="shared" ref="AB36" si="33">N36*1.03</f>
        <v>309</v>
      </c>
      <c r="AC36" s="186">
        <f t="shared" ref="AC36" si="34">O36*1.03</f>
        <v>309</v>
      </c>
      <c r="AD36" s="186">
        <f t="shared" si="11"/>
        <v>3708</v>
      </c>
      <c r="AE36" s="38"/>
      <c r="AF36" s="186">
        <f t="shared" si="16"/>
        <v>318.27</v>
      </c>
      <c r="AG36" s="186">
        <f t="shared" ref="AG36" si="35">S36*1.03</f>
        <v>318.27</v>
      </c>
      <c r="AH36" s="186">
        <f t="shared" ref="AH36" si="36">T36*1.03</f>
        <v>318.27</v>
      </c>
      <c r="AI36" s="186">
        <f t="shared" ref="AI36" si="37">U36*1.03</f>
        <v>318.27</v>
      </c>
      <c r="AJ36" s="186">
        <f t="shared" ref="AJ36" si="38">V36*1.03</f>
        <v>318.27</v>
      </c>
      <c r="AK36" s="186">
        <f t="shared" ref="AK36" si="39">W36*1.03</f>
        <v>318.27</v>
      </c>
      <c r="AL36" s="186">
        <f t="shared" ref="AL36" si="40">X36*1.03</f>
        <v>318.27</v>
      </c>
      <c r="AM36" s="186">
        <f t="shared" ref="AM36" si="41">Y36*1.03</f>
        <v>318.27</v>
      </c>
      <c r="AN36" s="186">
        <f t="shared" ref="AN36" si="42">Z36*1.03</f>
        <v>318.27</v>
      </c>
      <c r="AO36" s="186">
        <f t="shared" ref="AO36" si="43">AA36*1.03</f>
        <v>318.27</v>
      </c>
      <c r="AP36" s="186">
        <f t="shared" ref="AP36" si="44">AB36*1.03</f>
        <v>318.27</v>
      </c>
      <c r="AQ36" s="186">
        <f t="shared" ref="AQ36" si="45">AC36*1.03</f>
        <v>318.27</v>
      </c>
      <c r="AR36" s="186">
        <f t="shared" si="13"/>
        <v>3819.24</v>
      </c>
    </row>
    <row r="37" spans="1:46" ht="16.05" customHeight="1" x14ac:dyDescent="0.3">
      <c r="A37" s="138"/>
      <c r="B37" s="141"/>
      <c r="C37" s="188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88"/>
      <c r="Q37" s="38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38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6" ht="16.05" customHeight="1" x14ac:dyDescent="0.3">
      <c r="A38" s="138"/>
      <c r="B38" s="116"/>
      <c r="C38" s="188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88"/>
      <c r="Q38" s="38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38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6" ht="12.75" customHeight="1" x14ac:dyDescent="0.3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186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</row>
    <row r="40" spans="1:46" ht="12.75" customHeight="1" x14ac:dyDescent="0.3">
      <c r="A40" s="108"/>
      <c r="B40" s="109" t="s">
        <v>19</v>
      </c>
      <c r="C40" s="186">
        <f t="shared" ref="C40:P40" si="46">SUM(C16:C39)</f>
        <v>148240</v>
      </c>
      <c r="D40" s="186">
        <f t="shared" si="46"/>
        <v>45950</v>
      </c>
      <c r="E40" s="186">
        <f t="shared" si="46"/>
        <v>26450</v>
      </c>
      <c r="F40" s="186">
        <f t="shared" si="46"/>
        <v>26450</v>
      </c>
      <c r="G40" s="186">
        <f t="shared" si="46"/>
        <v>122450</v>
      </c>
      <c r="H40" s="186">
        <f t="shared" si="46"/>
        <v>21700</v>
      </c>
      <c r="I40" s="186">
        <f t="shared" si="46"/>
        <v>346700</v>
      </c>
      <c r="J40" s="186">
        <f t="shared" si="46"/>
        <v>49000</v>
      </c>
      <c r="K40" s="186">
        <f t="shared" si="46"/>
        <v>118550</v>
      </c>
      <c r="L40" s="186">
        <f t="shared" si="46"/>
        <v>64600</v>
      </c>
      <c r="M40" s="186">
        <f t="shared" si="46"/>
        <v>52900</v>
      </c>
      <c r="N40" s="186">
        <f t="shared" si="46"/>
        <v>80200</v>
      </c>
      <c r="O40" s="186">
        <f t="shared" si="46"/>
        <v>149750</v>
      </c>
      <c r="P40" s="186">
        <f t="shared" si="46"/>
        <v>1252940</v>
      </c>
      <c r="Q40" s="38"/>
      <c r="R40" s="186">
        <f t="shared" ref="R40:AD40" si="47">SUM(R16:R39)</f>
        <v>443058.5</v>
      </c>
      <c r="S40" s="186">
        <f t="shared" si="47"/>
        <v>195408.5</v>
      </c>
      <c r="T40" s="186">
        <f t="shared" si="47"/>
        <v>454758.5</v>
      </c>
      <c r="U40" s="186">
        <f t="shared" si="47"/>
        <v>307631</v>
      </c>
      <c r="V40" s="186">
        <f t="shared" si="47"/>
        <v>485731</v>
      </c>
      <c r="W40" s="186">
        <f t="shared" si="47"/>
        <v>257581</v>
      </c>
      <c r="X40" s="186">
        <f t="shared" si="47"/>
        <v>516931</v>
      </c>
      <c r="Y40" s="186">
        <f t="shared" si="47"/>
        <v>227031</v>
      </c>
      <c r="Z40" s="186">
        <f t="shared" si="47"/>
        <v>567631</v>
      </c>
      <c r="AA40" s="186">
        <f t="shared" si="47"/>
        <v>339481</v>
      </c>
      <c r="AB40" s="186">
        <f t="shared" si="47"/>
        <v>598831</v>
      </c>
      <c r="AC40" s="186">
        <f t="shared" si="47"/>
        <v>351181</v>
      </c>
      <c r="AD40" s="186">
        <f t="shared" si="47"/>
        <v>4745254.5</v>
      </c>
      <c r="AE40" s="38"/>
      <c r="AF40" s="186">
        <f t="shared" ref="AF40:AR40" si="48">SUM(AF16:AF39)</f>
        <v>641783.25500000012</v>
      </c>
      <c r="AG40" s="186">
        <f t="shared" si="48"/>
        <v>746433.25500000012</v>
      </c>
      <c r="AH40" s="186">
        <f t="shared" si="48"/>
        <v>688583.25500000012</v>
      </c>
      <c r="AI40" s="186">
        <f t="shared" si="48"/>
        <v>935998.93</v>
      </c>
      <c r="AJ40" s="186">
        <f t="shared" si="48"/>
        <v>735148.93</v>
      </c>
      <c r="AK40" s="186">
        <f t="shared" si="48"/>
        <v>820298.93</v>
      </c>
      <c r="AL40" s="186">
        <f t="shared" si="48"/>
        <v>781948.93</v>
      </c>
      <c r="AM40" s="186">
        <f t="shared" si="48"/>
        <v>867098.93</v>
      </c>
      <c r="AN40" s="186">
        <f t="shared" si="48"/>
        <v>991248.93</v>
      </c>
      <c r="AO40" s="186">
        <f t="shared" si="48"/>
        <v>933398.93</v>
      </c>
      <c r="AP40" s="186">
        <f t="shared" si="48"/>
        <v>875548.93</v>
      </c>
      <c r="AQ40" s="186">
        <f t="shared" si="48"/>
        <v>980198.93</v>
      </c>
      <c r="AR40" s="186">
        <f t="shared" si="48"/>
        <v>9997690.1349999998</v>
      </c>
    </row>
    <row r="41" spans="1:46" ht="12.75" customHeight="1" x14ac:dyDescent="0.3">
      <c r="A41" s="108"/>
      <c r="B41" s="109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38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38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6" ht="12.75" customHeight="1" x14ac:dyDescent="0.3">
      <c r="A42" s="108"/>
      <c r="B42" s="109" t="s">
        <v>20</v>
      </c>
      <c r="C42" s="186">
        <f t="shared" ref="C42:O42" si="49">C13-C40</f>
        <v>71760</v>
      </c>
      <c r="D42" s="186">
        <f t="shared" si="49"/>
        <v>-15950</v>
      </c>
      <c r="E42" s="186">
        <f t="shared" si="49"/>
        <v>-26450</v>
      </c>
      <c r="F42" s="186">
        <f t="shared" si="49"/>
        <v>-26450</v>
      </c>
      <c r="G42" s="186">
        <f t="shared" si="49"/>
        <v>32550</v>
      </c>
      <c r="H42" s="186">
        <f t="shared" si="49"/>
        <v>-21700</v>
      </c>
      <c r="I42" s="186">
        <f t="shared" si="49"/>
        <v>153300</v>
      </c>
      <c r="J42" s="186">
        <f t="shared" si="49"/>
        <v>-7000</v>
      </c>
      <c r="K42" s="186">
        <f t="shared" si="49"/>
        <v>30450</v>
      </c>
      <c r="L42" s="186">
        <f t="shared" si="49"/>
        <v>1400</v>
      </c>
      <c r="M42" s="186">
        <f t="shared" si="49"/>
        <v>-4900</v>
      </c>
      <c r="N42" s="186">
        <f t="shared" si="49"/>
        <v>9800</v>
      </c>
      <c r="O42" s="186">
        <f t="shared" si="49"/>
        <v>47250</v>
      </c>
      <c r="P42" s="186"/>
      <c r="Q42" s="38"/>
      <c r="R42" s="186">
        <f t="shared" ref="R42:AC42" si="50">R13-R40</f>
        <v>182941.5</v>
      </c>
      <c r="S42" s="186">
        <f t="shared" si="50"/>
        <v>49591.5</v>
      </c>
      <c r="T42" s="186">
        <f t="shared" si="50"/>
        <v>189241.5</v>
      </c>
      <c r="U42" s="186">
        <f t="shared" si="50"/>
        <v>110369</v>
      </c>
      <c r="V42" s="186">
        <f t="shared" si="50"/>
        <v>206269</v>
      </c>
      <c r="W42" s="186">
        <f t="shared" si="50"/>
        <v>83419</v>
      </c>
      <c r="X42" s="186">
        <f t="shared" si="50"/>
        <v>223069</v>
      </c>
      <c r="Y42" s="186">
        <f t="shared" si="50"/>
        <v>66969</v>
      </c>
      <c r="Z42" s="186">
        <f t="shared" si="50"/>
        <v>250369</v>
      </c>
      <c r="AA42" s="186">
        <f t="shared" si="50"/>
        <v>127519</v>
      </c>
      <c r="AB42" s="186">
        <f t="shared" si="50"/>
        <v>267169</v>
      </c>
      <c r="AC42" s="186">
        <f t="shared" si="50"/>
        <v>133819</v>
      </c>
      <c r="AD42" s="186"/>
      <c r="AE42" s="38"/>
      <c r="AF42" s="186">
        <f t="shared" ref="AF42:AQ42" si="51">AF13-AF40</f>
        <v>284216.74499999988</v>
      </c>
      <c r="AG42" s="186">
        <f t="shared" si="51"/>
        <v>340566.74499999988</v>
      </c>
      <c r="AH42" s="186">
        <f t="shared" si="51"/>
        <v>309416.74499999988</v>
      </c>
      <c r="AI42" s="186">
        <f t="shared" si="51"/>
        <v>443001.06999999995</v>
      </c>
      <c r="AJ42" s="186">
        <f t="shared" si="51"/>
        <v>334851.06999999995</v>
      </c>
      <c r="AK42" s="186">
        <f t="shared" si="51"/>
        <v>380701.06999999995</v>
      </c>
      <c r="AL42" s="186">
        <f t="shared" si="51"/>
        <v>360051.06999999995</v>
      </c>
      <c r="AM42" s="186">
        <f t="shared" si="51"/>
        <v>405901.06999999995</v>
      </c>
      <c r="AN42" s="186">
        <f t="shared" si="51"/>
        <v>472751.06999999995</v>
      </c>
      <c r="AO42" s="186">
        <f t="shared" si="51"/>
        <v>441601.06999999995</v>
      </c>
      <c r="AP42" s="186">
        <f t="shared" si="51"/>
        <v>410451.06999999995</v>
      </c>
      <c r="AQ42" s="186">
        <f t="shared" si="51"/>
        <v>466801.06999999995</v>
      </c>
      <c r="AR42" s="186"/>
    </row>
    <row r="43" spans="1:46" ht="12.75" customHeight="1" x14ac:dyDescent="0.3">
      <c r="A43" s="108"/>
      <c r="B43" s="109" t="s">
        <v>21</v>
      </c>
      <c r="C43" s="186"/>
      <c r="D43" s="186">
        <f>C44</f>
        <v>71760</v>
      </c>
      <c r="E43" s="186">
        <f>D44</f>
        <v>55810</v>
      </c>
      <c r="F43" s="186">
        <f t="shared" ref="F43:AC43" si="52">E44</f>
        <v>29360</v>
      </c>
      <c r="G43" s="186">
        <f t="shared" si="52"/>
        <v>2910</v>
      </c>
      <c r="H43" s="186">
        <f t="shared" si="52"/>
        <v>35460</v>
      </c>
      <c r="I43" s="186">
        <f t="shared" si="52"/>
        <v>13760</v>
      </c>
      <c r="J43" s="186">
        <f t="shared" si="52"/>
        <v>167060</v>
      </c>
      <c r="K43" s="186">
        <f t="shared" si="52"/>
        <v>160060</v>
      </c>
      <c r="L43" s="186">
        <f t="shared" si="52"/>
        <v>190510</v>
      </c>
      <c r="M43" s="186">
        <f t="shared" si="52"/>
        <v>191910</v>
      </c>
      <c r="N43" s="186">
        <f t="shared" si="52"/>
        <v>187010</v>
      </c>
      <c r="O43" s="186">
        <f t="shared" si="52"/>
        <v>196810</v>
      </c>
      <c r="P43" s="186"/>
      <c r="Q43" s="38"/>
      <c r="R43" s="186">
        <f>O44</f>
        <v>244060</v>
      </c>
      <c r="S43" s="186">
        <f t="shared" si="52"/>
        <v>427001.5</v>
      </c>
      <c r="T43" s="186">
        <f t="shared" si="52"/>
        <v>476593</v>
      </c>
      <c r="U43" s="186">
        <f t="shared" si="52"/>
        <v>665834.5</v>
      </c>
      <c r="V43" s="186">
        <f t="shared" si="52"/>
        <v>776203.5</v>
      </c>
      <c r="W43" s="186">
        <f t="shared" si="52"/>
        <v>982472.5</v>
      </c>
      <c r="X43" s="186">
        <f t="shared" si="52"/>
        <v>1065891.5</v>
      </c>
      <c r="Y43" s="186">
        <f t="shared" si="52"/>
        <v>1288960.5</v>
      </c>
      <c r="Z43" s="186">
        <f t="shared" si="52"/>
        <v>1355929.5</v>
      </c>
      <c r="AA43" s="186">
        <f t="shared" si="52"/>
        <v>1606298.5</v>
      </c>
      <c r="AB43" s="186">
        <f t="shared" si="52"/>
        <v>1733817.5</v>
      </c>
      <c r="AC43" s="186">
        <f t="shared" si="52"/>
        <v>2000986.5</v>
      </c>
      <c r="AD43" s="186"/>
      <c r="AE43" s="38"/>
      <c r="AF43" s="186">
        <f>AC44</f>
        <v>2134805.5</v>
      </c>
      <c r="AG43" s="186">
        <f>AF44</f>
        <v>2419022.2450000001</v>
      </c>
      <c r="AH43" s="186">
        <f t="shared" ref="AH43:AQ43" si="53">AG44</f>
        <v>2759588.99</v>
      </c>
      <c r="AI43" s="186">
        <f t="shared" si="53"/>
        <v>3069005.7350000003</v>
      </c>
      <c r="AJ43" s="186">
        <f t="shared" si="53"/>
        <v>3512006.8050000002</v>
      </c>
      <c r="AK43" s="186">
        <f t="shared" si="53"/>
        <v>3846857.875</v>
      </c>
      <c r="AL43" s="186">
        <f t="shared" si="53"/>
        <v>4227558.9450000003</v>
      </c>
      <c r="AM43" s="186">
        <f t="shared" si="53"/>
        <v>4587610.0150000006</v>
      </c>
      <c r="AN43" s="186">
        <f t="shared" si="53"/>
        <v>4993511.0850000009</v>
      </c>
      <c r="AO43" s="186">
        <f t="shared" si="53"/>
        <v>5466262.1550000012</v>
      </c>
      <c r="AP43" s="186">
        <f t="shared" si="53"/>
        <v>5907863.2250000015</v>
      </c>
      <c r="AQ43" s="186">
        <f t="shared" si="53"/>
        <v>6318314.2950000018</v>
      </c>
      <c r="AR43" s="186"/>
    </row>
    <row r="44" spans="1:46" ht="12.75" customHeight="1" x14ac:dyDescent="0.3">
      <c r="A44" s="108"/>
      <c r="B44" s="109" t="s">
        <v>22</v>
      </c>
      <c r="C44" s="186">
        <f t="shared" ref="C44:AQ44" si="54">C42+C43</f>
        <v>71760</v>
      </c>
      <c r="D44" s="186">
        <f>D42+D43</f>
        <v>55810</v>
      </c>
      <c r="E44" s="186">
        <f t="shared" si="54"/>
        <v>29360</v>
      </c>
      <c r="F44" s="186">
        <f t="shared" si="54"/>
        <v>2910</v>
      </c>
      <c r="G44" s="186">
        <f t="shared" si="54"/>
        <v>35460</v>
      </c>
      <c r="H44" s="186">
        <f t="shared" si="54"/>
        <v>13760</v>
      </c>
      <c r="I44" s="186">
        <f t="shared" si="54"/>
        <v>167060</v>
      </c>
      <c r="J44" s="186">
        <f t="shared" si="54"/>
        <v>160060</v>
      </c>
      <c r="K44" s="186">
        <f t="shared" si="54"/>
        <v>190510</v>
      </c>
      <c r="L44" s="186">
        <f t="shared" si="54"/>
        <v>191910</v>
      </c>
      <c r="M44" s="186">
        <f t="shared" si="54"/>
        <v>187010</v>
      </c>
      <c r="N44" s="186">
        <f t="shared" si="54"/>
        <v>196810</v>
      </c>
      <c r="O44" s="186">
        <f t="shared" si="54"/>
        <v>244060</v>
      </c>
      <c r="P44" s="186"/>
      <c r="Q44" s="38"/>
      <c r="R44" s="186">
        <f>R42+R43</f>
        <v>427001.5</v>
      </c>
      <c r="S44" s="186">
        <f>S42+S43</f>
        <v>476593</v>
      </c>
      <c r="T44" s="186">
        <f t="shared" ref="T44:AC44" si="55">T42+T43</f>
        <v>665834.5</v>
      </c>
      <c r="U44" s="186">
        <f t="shared" si="55"/>
        <v>776203.5</v>
      </c>
      <c r="V44" s="186">
        <f t="shared" si="55"/>
        <v>982472.5</v>
      </c>
      <c r="W44" s="186">
        <f t="shared" si="55"/>
        <v>1065891.5</v>
      </c>
      <c r="X44" s="186">
        <f t="shared" si="55"/>
        <v>1288960.5</v>
      </c>
      <c r="Y44" s="186">
        <f t="shared" si="55"/>
        <v>1355929.5</v>
      </c>
      <c r="Z44" s="186">
        <f t="shared" si="55"/>
        <v>1606298.5</v>
      </c>
      <c r="AA44" s="186">
        <f t="shared" si="55"/>
        <v>1733817.5</v>
      </c>
      <c r="AB44" s="186">
        <f t="shared" si="55"/>
        <v>2000986.5</v>
      </c>
      <c r="AC44" s="186">
        <f t="shared" si="55"/>
        <v>2134805.5</v>
      </c>
      <c r="AD44" s="186"/>
      <c r="AE44" s="38"/>
      <c r="AF44" s="186">
        <f t="shared" si="54"/>
        <v>2419022.2450000001</v>
      </c>
      <c r="AG44" s="186">
        <f t="shared" si="54"/>
        <v>2759588.99</v>
      </c>
      <c r="AH44" s="186">
        <f t="shared" si="54"/>
        <v>3069005.7350000003</v>
      </c>
      <c r="AI44" s="186">
        <f t="shared" si="54"/>
        <v>3512006.8050000002</v>
      </c>
      <c r="AJ44" s="186">
        <f t="shared" si="54"/>
        <v>3846857.875</v>
      </c>
      <c r="AK44" s="186">
        <f t="shared" si="54"/>
        <v>4227558.9450000003</v>
      </c>
      <c r="AL44" s="186">
        <f t="shared" si="54"/>
        <v>4587610.0150000006</v>
      </c>
      <c r="AM44" s="186">
        <f t="shared" si="54"/>
        <v>4993511.0850000009</v>
      </c>
      <c r="AN44" s="186">
        <f t="shared" si="54"/>
        <v>5466262.1550000012</v>
      </c>
      <c r="AO44" s="186">
        <f t="shared" si="54"/>
        <v>5907863.2250000015</v>
      </c>
      <c r="AP44" s="186">
        <f t="shared" si="54"/>
        <v>6318314.2950000018</v>
      </c>
      <c r="AQ44" s="186">
        <f t="shared" si="54"/>
        <v>6785115.3650000021</v>
      </c>
      <c r="AR44" s="186"/>
    </row>
    <row r="45" spans="1:46" ht="12.75" customHeight="1" x14ac:dyDescent="0.3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193"/>
      <c r="AR45" s="38"/>
      <c r="AS45" s="38"/>
      <c r="AT45" s="38"/>
    </row>
    <row r="47" spans="1:46" x14ac:dyDescent="0.3">
      <c r="B47" s="117"/>
    </row>
  </sheetData>
  <mergeCells count="1">
    <mergeCell ref="B1:H1"/>
  </mergeCells>
  <phoneticPr fontId="4" type="noConversion"/>
  <pageMargins left="0.70866141732283472" right="0.70866141732283472" top="0.74803149606299213" bottom="0.74803149606299213" header="0.31496062992125984" footer="0.31496062992125984"/>
  <pageSetup scale="41" fitToWidth="3" orientation="landscape" horizontalDpi="4294967292" verticalDpi="4294967292" r:id="rId1"/>
  <colBreaks count="2" manualBreakCount="2">
    <brk id="17" max="51" man="1"/>
    <brk id="31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2"/>
  <sheetViews>
    <sheetView tabSelected="1" view="pageBreakPreview" zoomScale="87" zoomScaleNormal="100" zoomScaleSheetLayoutView="87" workbookViewId="0">
      <selection activeCell="H48" sqref="H48"/>
    </sheetView>
  </sheetViews>
  <sheetFormatPr defaultColWidth="9.21875" defaultRowHeight="14.4" x14ac:dyDescent="0.3"/>
  <cols>
    <col min="1" max="1" width="38.77734375" style="40" bestFit="1" customWidth="1"/>
    <col min="2" max="2" width="5" style="40" customWidth="1"/>
    <col min="3" max="4" width="13" style="40" bestFit="1" customWidth="1"/>
    <col min="5" max="5" width="13.77734375" style="40" bestFit="1" customWidth="1"/>
    <col min="6" max="6" width="3.77734375" style="40" customWidth="1"/>
    <col min="7" max="7" width="12.5546875" style="40" hidden="1" customWidth="1"/>
    <col min="8" max="9" width="13" style="40" bestFit="1" customWidth="1"/>
    <col min="10" max="10" width="13.77734375" style="40" bestFit="1" customWidth="1"/>
    <col min="11" max="11" width="4.21875" style="40" customWidth="1"/>
    <col min="12" max="13" width="13" style="40" bestFit="1" customWidth="1"/>
    <col min="14" max="14" width="13.77734375" style="40" bestFit="1" customWidth="1"/>
    <col min="15" max="15" width="4.21875" style="40" customWidth="1"/>
    <col min="16" max="16384" width="9.21875" style="39"/>
  </cols>
  <sheetData>
    <row r="1" spans="1:15" x14ac:dyDescent="0.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8" x14ac:dyDescent="0.3">
      <c r="A2" s="229" t="s">
        <v>23</v>
      </c>
      <c r="B2" s="229"/>
      <c r="C2" s="230"/>
      <c r="D2" s="230"/>
      <c r="E2" s="230"/>
      <c r="F2" s="230"/>
      <c r="G2" s="230"/>
      <c r="H2" s="39"/>
      <c r="I2" s="39"/>
      <c r="J2" s="39"/>
      <c r="K2" s="39"/>
      <c r="L2" s="39"/>
      <c r="M2" s="39"/>
      <c r="N2" s="39"/>
      <c r="O2" s="39"/>
    </row>
    <row r="3" spans="1:15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5" x14ac:dyDescent="0.3">
      <c r="A4" s="41"/>
      <c r="B4" s="41"/>
      <c r="C4" s="231" t="s">
        <v>3</v>
      </c>
      <c r="D4" s="231"/>
      <c r="E4" s="231"/>
      <c r="F4" s="39"/>
      <c r="G4" s="42"/>
      <c r="H4" s="231" t="s">
        <v>4</v>
      </c>
      <c r="I4" s="231"/>
      <c r="J4" s="231"/>
      <c r="K4" s="39"/>
      <c r="L4" s="231" t="s">
        <v>5</v>
      </c>
      <c r="M4" s="231"/>
      <c r="N4" s="231"/>
      <c r="O4" s="39"/>
    </row>
    <row r="5" spans="1:15" x14ac:dyDescent="0.3">
      <c r="A5" s="43" t="s">
        <v>14</v>
      </c>
      <c r="B5" s="39"/>
      <c r="C5" s="204">
        <v>0</v>
      </c>
      <c r="D5" s="204">
        <f>'Cash-flow'!P10</f>
        <v>1277000</v>
      </c>
      <c r="E5" s="204">
        <v>0</v>
      </c>
      <c r="F5" s="44"/>
      <c r="G5" s="204">
        <v>0</v>
      </c>
      <c r="H5" s="204">
        <v>0</v>
      </c>
      <c r="I5" s="204">
        <f>'Cash-flow'!AD10</f>
        <v>6636000</v>
      </c>
      <c r="J5" s="204">
        <v>0</v>
      </c>
      <c r="K5" s="44"/>
      <c r="L5" s="204">
        <v>0</v>
      </c>
      <c r="M5" s="204">
        <f>'Cash-flow'!AR10</f>
        <v>14648000</v>
      </c>
      <c r="N5" s="204">
        <v>0</v>
      </c>
      <c r="O5" s="44"/>
    </row>
    <row r="6" spans="1:15" x14ac:dyDescent="0.3">
      <c r="A6" s="43"/>
      <c r="B6" s="39"/>
      <c r="C6" s="204">
        <v>0</v>
      </c>
      <c r="D6" s="204"/>
      <c r="E6" s="204">
        <v>0</v>
      </c>
      <c r="F6" s="44"/>
      <c r="G6" s="204">
        <v>0</v>
      </c>
      <c r="H6" s="204">
        <v>0</v>
      </c>
      <c r="I6" s="204"/>
      <c r="J6" s="204">
        <v>0</v>
      </c>
      <c r="K6" s="44"/>
      <c r="L6" s="204">
        <v>0</v>
      </c>
      <c r="M6" s="204"/>
      <c r="N6" s="204">
        <v>0</v>
      </c>
      <c r="O6" s="44"/>
    </row>
    <row r="7" spans="1:15" x14ac:dyDescent="0.3">
      <c r="A7" s="43"/>
      <c r="B7" s="39"/>
      <c r="C7" s="204">
        <v>0</v>
      </c>
      <c r="D7" s="204">
        <v>0</v>
      </c>
      <c r="E7" s="204">
        <v>0</v>
      </c>
      <c r="F7" s="44"/>
      <c r="G7" s="204">
        <v>0</v>
      </c>
      <c r="H7" s="204">
        <v>0</v>
      </c>
      <c r="I7" s="204">
        <v>0</v>
      </c>
      <c r="J7" s="204">
        <v>0</v>
      </c>
      <c r="K7" s="44"/>
      <c r="L7" s="204">
        <v>0</v>
      </c>
      <c r="M7" s="204">
        <v>0</v>
      </c>
      <c r="N7" s="204">
        <v>0</v>
      </c>
      <c r="O7" s="44"/>
    </row>
    <row r="8" spans="1:15" x14ac:dyDescent="0.3">
      <c r="A8" s="43" t="s">
        <v>24</v>
      </c>
      <c r="B8" s="39"/>
      <c r="C8" s="204">
        <v>0</v>
      </c>
      <c r="D8" s="204">
        <v>0</v>
      </c>
      <c r="E8" s="204">
        <f>D5</f>
        <v>1277000</v>
      </c>
      <c r="F8" s="44"/>
      <c r="G8" s="204">
        <v>0</v>
      </c>
      <c r="H8" s="204">
        <v>0</v>
      </c>
      <c r="I8" s="204">
        <v>0</v>
      </c>
      <c r="J8" s="204">
        <f>I5</f>
        <v>6636000</v>
      </c>
      <c r="K8" s="44"/>
      <c r="L8" s="204">
        <v>0</v>
      </c>
      <c r="M8" s="204">
        <v>0</v>
      </c>
      <c r="N8" s="204">
        <f>M5</f>
        <v>14648000</v>
      </c>
      <c r="O8" s="44"/>
    </row>
    <row r="9" spans="1:15" x14ac:dyDescent="0.3">
      <c r="A9" s="39"/>
      <c r="B9" s="39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1:15" x14ac:dyDescent="0.3">
      <c r="A10" s="43" t="s">
        <v>25</v>
      </c>
      <c r="B10" s="39"/>
      <c r="C10" s="204">
        <v>0</v>
      </c>
      <c r="D10" s="204">
        <v>0</v>
      </c>
      <c r="E10" s="204">
        <v>0</v>
      </c>
      <c r="F10" s="44"/>
      <c r="G10" s="204">
        <v>0</v>
      </c>
      <c r="H10" s="204">
        <v>0</v>
      </c>
      <c r="I10" s="204">
        <v>0</v>
      </c>
      <c r="J10" s="204">
        <v>0</v>
      </c>
      <c r="K10" s="44"/>
      <c r="L10" s="204">
        <v>0</v>
      </c>
      <c r="M10" s="204">
        <v>0</v>
      </c>
      <c r="N10" s="204">
        <v>0</v>
      </c>
      <c r="O10" s="44"/>
    </row>
    <row r="11" spans="1:15" x14ac:dyDescent="0.3">
      <c r="A11" s="43" t="s">
        <v>26</v>
      </c>
      <c r="B11" s="39"/>
      <c r="C11" s="204">
        <f>'Cash-flow'!P16+'Cash-flow'!P17+'Cash-flow'!P18+'Cash-flow'!P19</f>
        <v>830050</v>
      </c>
      <c r="D11" s="204">
        <v>0</v>
      </c>
      <c r="E11" s="204">
        <v>0</v>
      </c>
      <c r="F11" s="44"/>
      <c r="G11" s="204">
        <v>0</v>
      </c>
      <c r="H11" s="204">
        <f>'Cash-flow'!AD16+'Cash-flow'!AD17+'Cash-flow'!AD18+'Cash-flow'!AD19</f>
        <v>4313400</v>
      </c>
      <c r="I11" s="204">
        <v>0</v>
      </c>
      <c r="J11" s="204">
        <v>0</v>
      </c>
      <c r="K11" s="44"/>
      <c r="L11" s="204">
        <f>'Cash-flow'!AR16+'Cash-flow'!AR17+'Cash-flow'!AR18+'Cash-flow'!AR19</f>
        <v>9521200</v>
      </c>
      <c r="M11" s="204">
        <v>0</v>
      </c>
      <c r="N11" s="204">
        <v>0</v>
      </c>
      <c r="O11" s="44"/>
    </row>
    <row r="12" spans="1:15" x14ac:dyDescent="0.3">
      <c r="A12" s="43"/>
      <c r="B12" s="39"/>
      <c r="C12" s="204"/>
      <c r="D12" s="204"/>
      <c r="E12" s="204"/>
      <c r="F12" s="44"/>
      <c r="G12" s="204"/>
      <c r="H12" s="204"/>
      <c r="I12" s="204"/>
      <c r="J12" s="204"/>
      <c r="K12" s="44"/>
      <c r="L12" s="204"/>
      <c r="M12" s="204"/>
      <c r="N12" s="204"/>
      <c r="O12" s="44"/>
    </row>
    <row r="13" spans="1:15" x14ac:dyDescent="0.3">
      <c r="A13" s="43" t="s">
        <v>27</v>
      </c>
      <c r="B13" s="39"/>
      <c r="C13" s="204">
        <v>0</v>
      </c>
      <c r="D13" s="204">
        <v>0</v>
      </c>
      <c r="E13" s="204">
        <v>0</v>
      </c>
      <c r="F13" s="44"/>
      <c r="G13" s="204">
        <v>0</v>
      </c>
      <c r="H13" s="204">
        <v>0</v>
      </c>
      <c r="I13" s="204">
        <v>0</v>
      </c>
      <c r="J13" s="204">
        <v>0</v>
      </c>
      <c r="K13" s="44"/>
      <c r="L13" s="204">
        <v>0</v>
      </c>
      <c r="M13" s="204">
        <v>0</v>
      </c>
      <c r="N13" s="204">
        <v>0</v>
      </c>
      <c r="O13" s="44"/>
    </row>
    <row r="14" spans="1:15" x14ac:dyDescent="0.3">
      <c r="A14" s="39"/>
      <c r="B14" s="39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 x14ac:dyDescent="0.3">
      <c r="A15" s="43" t="s">
        <v>28</v>
      </c>
      <c r="B15" s="39"/>
      <c r="C15" s="204">
        <v>0</v>
      </c>
      <c r="D15" s="204">
        <v>0</v>
      </c>
      <c r="E15" s="204">
        <v>0</v>
      </c>
      <c r="F15" s="44"/>
      <c r="G15" s="204">
        <v>0</v>
      </c>
      <c r="H15" s="204">
        <v>0</v>
      </c>
      <c r="I15" s="204">
        <v>0</v>
      </c>
      <c r="J15" s="204">
        <v>0</v>
      </c>
      <c r="K15" s="44"/>
      <c r="L15" s="204">
        <v>0</v>
      </c>
      <c r="M15" s="204">
        <v>0</v>
      </c>
      <c r="N15" s="204">
        <v>0</v>
      </c>
      <c r="O15" s="44"/>
    </row>
    <row r="16" spans="1:15" x14ac:dyDescent="0.3">
      <c r="A16" s="43" t="s">
        <v>29</v>
      </c>
      <c r="B16" s="39"/>
      <c r="C16" s="204">
        <v>0</v>
      </c>
      <c r="D16" s="204">
        <v>0</v>
      </c>
      <c r="E16" s="205">
        <f>C11-C11-C11</f>
        <v>-830050</v>
      </c>
      <c r="F16" s="206"/>
      <c r="G16" s="205">
        <v>0</v>
      </c>
      <c r="H16" s="205">
        <v>0</v>
      </c>
      <c r="I16" s="205">
        <v>0</v>
      </c>
      <c r="J16" s="205">
        <f>H11-H11-H11</f>
        <v>-4313400</v>
      </c>
      <c r="K16" s="206"/>
      <c r="L16" s="205">
        <v>0</v>
      </c>
      <c r="M16" s="205">
        <v>0</v>
      </c>
      <c r="N16" s="205">
        <f>L11-L11-L11</f>
        <v>-9521200</v>
      </c>
      <c r="O16" s="44"/>
    </row>
    <row r="17" spans="1:15" x14ac:dyDescent="0.3">
      <c r="A17" s="39"/>
      <c r="B17" s="39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  <row r="18" spans="1:15" x14ac:dyDescent="0.3">
      <c r="A18" s="43" t="s">
        <v>30</v>
      </c>
      <c r="B18" s="39"/>
      <c r="C18" s="204">
        <v>0</v>
      </c>
      <c r="D18" s="204">
        <v>0</v>
      </c>
      <c r="E18" s="204">
        <f>SUM(E16+E8)</f>
        <v>446950</v>
      </c>
      <c r="F18" s="44"/>
      <c r="G18" s="204">
        <v>0</v>
      </c>
      <c r="H18" s="204">
        <v>0</v>
      </c>
      <c r="I18" s="204">
        <v>0</v>
      </c>
      <c r="J18" s="204">
        <f>J16+J8</f>
        <v>2322600</v>
      </c>
      <c r="K18" s="44"/>
      <c r="L18" s="204">
        <v>0</v>
      </c>
      <c r="M18" s="204">
        <v>0</v>
      </c>
      <c r="N18" s="204">
        <f>N16+N8</f>
        <v>5126800</v>
      </c>
      <c r="O18" s="44"/>
    </row>
    <row r="19" spans="1:15" x14ac:dyDescent="0.3">
      <c r="A19" s="39"/>
      <c r="B19" s="39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</row>
    <row r="20" spans="1:15" x14ac:dyDescent="0.3">
      <c r="A20" s="43" t="str">
        <f>'Cash-flow'!B22</f>
        <v>Premises office (home office)</v>
      </c>
      <c r="B20" s="39"/>
      <c r="C20" s="204">
        <v>0</v>
      </c>
      <c r="D20" s="204">
        <f>'Cash-flow'!P22</f>
        <v>6000</v>
      </c>
      <c r="E20" s="204">
        <v>0</v>
      </c>
      <c r="F20" s="44"/>
      <c r="G20" s="204">
        <v>0</v>
      </c>
      <c r="H20" s="204">
        <v>0</v>
      </c>
      <c r="I20" s="204">
        <f>'Cash-flow'!AD22</f>
        <v>24000</v>
      </c>
      <c r="J20" s="204">
        <v>0</v>
      </c>
      <c r="K20" s="44"/>
      <c r="L20" s="204">
        <v>0</v>
      </c>
      <c r="M20" s="204">
        <f>'Cash-flow'!AR22</f>
        <v>24720</v>
      </c>
      <c r="N20" s="204">
        <v>0</v>
      </c>
      <c r="O20" s="44"/>
    </row>
    <row r="21" spans="1:15" ht="31.5" customHeight="1" x14ac:dyDescent="0.3">
      <c r="A21" s="43" t="str">
        <f>'Cash-flow'!B23</f>
        <v>Insurance</v>
      </c>
      <c r="B21" s="39"/>
      <c r="C21" s="204">
        <v>0</v>
      </c>
      <c r="D21" s="204">
        <f>'Cash-flow'!P23</f>
        <v>1200</v>
      </c>
      <c r="E21" s="204">
        <v>0</v>
      </c>
      <c r="F21" s="44"/>
      <c r="G21" s="204">
        <v>0</v>
      </c>
      <c r="H21" s="204">
        <v>0</v>
      </c>
      <c r="I21" s="204">
        <f>'Cash-flow'!AD23</f>
        <v>1236</v>
      </c>
      <c r="J21" s="204">
        <v>0</v>
      </c>
      <c r="K21" s="44"/>
      <c r="L21" s="204">
        <v>0</v>
      </c>
      <c r="M21" s="204">
        <f>'Cash-flow'!AR23</f>
        <v>1273.08</v>
      </c>
      <c r="N21" s="204">
        <v>0</v>
      </c>
      <c r="O21" s="44"/>
    </row>
    <row r="22" spans="1:15" x14ac:dyDescent="0.3">
      <c r="A22" s="43" t="str">
        <f>'Cash-flow'!B24</f>
        <v>Directors' salaries</v>
      </c>
      <c r="B22" s="39"/>
      <c r="C22" s="204">
        <v>0</v>
      </c>
      <c r="D22" s="204">
        <f>'Cash-flow'!P24</f>
        <v>18000</v>
      </c>
      <c r="E22" s="204"/>
      <c r="F22" s="44"/>
      <c r="G22" s="204">
        <v>0</v>
      </c>
      <c r="H22" s="204">
        <v>0</v>
      </c>
      <c r="I22" s="204">
        <f>'Cash-flow'!AD24</f>
        <v>48000</v>
      </c>
      <c r="J22" s="204">
        <v>0</v>
      </c>
      <c r="K22" s="44"/>
      <c r="L22" s="204">
        <v>0</v>
      </c>
      <c r="M22" s="204">
        <f>'Cash-flow'!AR24</f>
        <v>49440</v>
      </c>
      <c r="N22" s="204">
        <v>0</v>
      </c>
      <c r="O22" s="44"/>
    </row>
    <row r="23" spans="1:15" x14ac:dyDescent="0.3">
      <c r="A23" s="43" t="str">
        <f>'Cash-flow'!B25</f>
        <v>Directors' salaries - on cost 25%</v>
      </c>
      <c r="B23" s="39"/>
      <c r="C23" s="204">
        <v>0</v>
      </c>
      <c r="D23" s="204">
        <f>'Cash-flow'!P25</f>
        <v>4500</v>
      </c>
      <c r="E23" s="204"/>
      <c r="F23" s="44"/>
      <c r="G23" s="204">
        <v>0</v>
      </c>
      <c r="H23" s="204">
        <v>0</v>
      </c>
      <c r="I23" s="204">
        <f>'Cash-flow'!AD25</f>
        <v>7635</v>
      </c>
      <c r="J23" s="204">
        <v>0</v>
      </c>
      <c r="K23" s="44"/>
      <c r="L23" s="204">
        <v>0</v>
      </c>
      <c r="M23" s="204">
        <f>'Cash-flow'!AR25</f>
        <v>7864.0499999999984</v>
      </c>
      <c r="N23" s="204">
        <v>0</v>
      </c>
      <c r="O23" s="44"/>
    </row>
    <row r="24" spans="1:15" x14ac:dyDescent="0.3">
      <c r="A24" s="43" t="str">
        <f>'Cash-flow'!B26</f>
        <v>Support Staff  -administration</v>
      </c>
      <c r="B24" s="39"/>
      <c r="C24" s="204">
        <v>0</v>
      </c>
      <c r="D24" s="204">
        <f>'Cash-flow'!P26</f>
        <v>36000</v>
      </c>
      <c r="E24" s="204"/>
      <c r="F24" s="44"/>
      <c r="G24" s="204">
        <v>0</v>
      </c>
      <c r="H24" s="204">
        <v>0</v>
      </c>
      <c r="I24" s="204">
        <f>'Cash-flow'!AD26</f>
        <v>96000</v>
      </c>
      <c r="J24" s="204">
        <v>0</v>
      </c>
      <c r="K24" s="44"/>
      <c r="L24" s="204">
        <v>0</v>
      </c>
      <c r="M24" s="204">
        <f>'Cash-flow'!AR26</f>
        <v>98880</v>
      </c>
      <c r="N24" s="204">
        <v>0</v>
      </c>
      <c r="O24" s="44"/>
    </row>
    <row r="25" spans="1:15" x14ac:dyDescent="0.3">
      <c r="A25" s="43" t="str">
        <f>'Cash-flow'!B27</f>
        <v>Support Staff - on cost 25%</v>
      </c>
      <c r="B25" s="39"/>
      <c r="C25" s="204">
        <v>0</v>
      </c>
      <c r="D25" s="204">
        <f>'Cash-flow'!P27</f>
        <v>9000</v>
      </c>
      <c r="E25" s="204"/>
      <c r="F25" s="44"/>
      <c r="G25" s="204">
        <v>0</v>
      </c>
      <c r="H25" s="204">
        <v>0</v>
      </c>
      <c r="I25" s="204">
        <f>'Cash-flow'!AD27</f>
        <v>24000</v>
      </c>
      <c r="J25" s="204">
        <v>0</v>
      </c>
      <c r="K25" s="44"/>
      <c r="L25" s="204">
        <v>0</v>
      </c>
      <c r="M25" s="204">
        <f>'Cash-flow'!AR27</f>
        <v>24720</v>
      </c>
      <c r="N25" s="204">
        <v>0</v>
      </c>
      <c r="O25" s="44"/>
    </row>
    <row r="26" spans="1:15" x14ac:dyDescent="0.3">
      <c r="A26" s="43" t="str">
        <f>'Cash-flow'!B28</f>
        <v>Travel and subsistence</v>
      </c>
      <c r="B26" s="39"/>
      <c r="C26" s="204">
        <v>0</v>
      </c>
      <c r="D26" s="204">
        <f>'Cash-flow'!P28</f>
        <v>2250</v>
      </c>
      <c r="E26" s="204"/>
      <c r="F26" s="44"/>
      <c r="G26" s="204">
        <v>0</v>
      </c>
      <c r="H26" s="204">
        <v>0</v>
      </c>
      <c r="I26" s="204">
        <f>'Cash-flow'!AD28</f>
        <v>2317.5</v>
      </c>
      <c r="J26" s="204">
        <v>0</v>
      </c>
      <c r="K26" s="44"/>
      <c r="L26" s="204">
        <v>0</v>
      </c>
      <c r="M26" s="204">
        <f>'Cash-flow'!AR28</f>
        <v>2387.0249999999996</v>
      </c>
      <c r="N26" s="204">
        <v>0</v>
      </c>
      <c r="O26" s="44"/>
    </row>
    <row r="27" spans="1:15" x14ac:dyDescent="0.3">
      <c r="A27" s="43" t="str">
        <f>'Cash-flow'!B29</f>
        <v>Telephone, broadband and communication</v>
      </c>
      <c r="B27" s="39"/>
      <c r="C27" s="204">
        <v>0</v>
      </c>
      <c r="D27" s="204">
        <f>'Cash-flow'!P29</f>
        <v>2400</v>
      </c>
      <c r="E27" s="204"/>
      <c r="F27" s="44"/>
      <c r="G27" s="204">
        <v>0</v>
      </c>
      <c r="H27" s="204">
        <v>0</v>
      </c>
      <c r="I27" s="204">
        <f>'Cash-flow'!AD29</f>
        <v>2472</v>
      </c>
      <c r="J27" s="204">
        <v>0</v>
      </c>
      <c r="K27" s="44"/>
      <c r="L27" s="204">
        <v>0</v>
      </c>
      <c r="M27" s="204">
        <f>'Cash-flow'!AR29</f>
        <v>2546.16</v>
      </c>
      <c r="N27" s="204">
        <v>0</v>
      </c>
      <c r="O27" s="44"/>
    </row>
    <row r="28" spans="1:15" x14ac:dyDescent="0.3">
      <c r="A28" s="43" t="str">
        <f>'Cash-flow'!B30</f>
        <v>Post and stationery, software</v>
      </c>
      <c r="B28" s="39"/>
      <c r="C28" s="204">
        <v>0</v>
      </c>
      <c r="D28" s="204">
        <f>'Cash-flow'!P30</f>
        <v>600</v>
      </c>
      <c r="E28" s="204"/>
      <c r="F28" s="44"/>
      <c r="G28" s="204">
        <v>0</v>
      </c>
      <c r="H28" s="204">
        <v>0</v>
      </c>
      <c r="I28" s="204">
        <f>'Cash-flow'!AD30</f>
        <v>618</v>
      </c>
      <c r="J28" s="204">
        <v>0</v>
      </c>
      <c r="K28" s="44"/>
      <c r="L28" s="204">
        <v>0</v>
      </c>
      <c r="M28" s="204">
        <f>'Cash-flow'!AR30</f>
        <v>636.54</v>
      </c>
      <c r="N28" s="204">
        <v>0</v>
      </c>
      <c r="O28" s="44"/>
    </row>
    <row r="29" spans="1:15" x14ac:dyDescent="0.3">
      <c r="A29" s="43" t="str">
        <f>'Cash-flow'!B31</f>
        <v>Training and development</v>
      </c>
      <c r="B29" s="39"/>
      <c r="C29" s="204">
        <v>0</v>
      </c>
      <c r="D29" s="204">
        <f>'Cash-flow'!P31</f>
        <v>97000</v>
      </c>
      <c r="E29" s="204"/>
      <c r="F29" s="44"/>
      <c r="G29" s="204">
        <v>0</v>
      </c>
      <c r="H29" s="204">
        <v>0</v>
      </c>
      <c r="I29" s="204">
        <f>'Cash-flow'!AD31</f>
        <v>12360</v>
      </c>
      <c r="J29" s="204">
        <v>0</v>
      </c>
      <c r="K29" s="44"/>
      <c r="L29" s="204">
        <v>0</v>
      </c>
      <c r="M29" s="204">
        <f>'Cash-flow'!AR31</f>
        <v>12730.799999999997</v>
      </c>
      <c r="N29" s="204">
        <v>0</v>
      </c>
      <c r="O29" s="44"/>
    </row>
    <row r="30" spans="1:15" x14ac:dyDescent="0.3">
      <c r="A30" s="43" t="str">
        <f>'Cash-flow'!B32</f>
        <v>Internet/hosting/ game development costs</v>
      </c>
      <c r="B30" s="39"/>
      <c r="C30" s="204">
        <v>0</v>
      </c>
      <c r="D30" s="204">
        <f>'Cash-flow'!P32</f>
        <v>101500</v>
      </c>
      <c r="E30" s="204"/>
      <c r="F30" s="44"/>
      <c r="G30" s="204">
        <v>0</v>
      </c>
      <c r="H30" s="204">
        <v>0</v>
      </c>
      <c r="I30" s="204">
        <f>'Cash-flow'!AD32</f>
        <v>61800</v>
      </c>
      <c r="J30" s="204">
        <v>0</v>
      </c>
      <c r="K30" s="44"/>
      <c r="L30" s="204">
        <v>0</v>
      </c>
      <c r="M30" s="204">
        <f>'Cash-flow'!AR32</f>
        <v>63654</v>
      </c>
      <c r="N30" s="204">
        <v>0</v>
      </c>
      <c r="O30" s="44"/>
    </row>
    <row r="31" spans="1:15" x14ac:dyDescent="0.3">
      <c r="A31" s="43" t="str">
        <f>'Cash-flow'!B33</f>
        <v>Sundry expenses</v>
      </c>
      <c r="B31" s="39"/>
      <c r="C31" s="204"/>
      <c r="D31" s="204">
        <f>'Cash-flow'!P33</f>
        <v>2800</v>
      </c>
      <c r="E31" s="204"/>
      <c r="F31" s="44"/>
      <c r="G31" s="204"/>
      <c r="H31" s="204"/>
      <c r="I31" s="204">
        <f>'Cash-flow'!AD33</f>
        <v>1854</v>
      </c>
      <c r="J31" s="204"/>
      <c r="K31" s="44"/>
      <c r="L31" s="204"/>
      <c r="M31" s="204">
        <f>'Cash-flow'!AR33</f>
        <v>1909.62</v>
      </c>
      <c r="N31" s="204"/>
      <c r="O31" s="44"/>
    </row>
    <row r="32" spans="1:15" x14ac:dyDescent="0.3">
      <c r="A32" s="43" t="str">
        <f>'Cash-flow'!B34</f>
        <v>Professional/legal fees</v>
      </c>
      <c r="B32" s="39"/>
      <c r="C32" s="204"/>
      <c r="D32" s="204">
        <f>'Cash-flow'!P34</f>
        <v>2040</v>
      </c>
      <c r="E32" s="204"/>
      <c r="F32" s="44"/>
      <c r="G32" s="204"/>
      <c r="H32" s="204"/>
      <c r="I32" s="204">
        <f>'Cash-flow'!AD34</f>
        <v>1854</v>
      </c>
      <c r="J32" s="204"/>
      <c r="K32" s="44"/>
      <c r="L32" s="204"/>
      <c r="M32" s="204">
        <f>'Cash-flow'!AR34</f>
        <v>1909.62</v>
      </c>
      <c r="N32" s="204"/>
      <c r="O32" s="44"/>
    </row>
    <row r="33" spans="1:15" ht="28.8" x14ac:dyDescent="0.3">
      <c r="A33" s="43" t="str">
        <f>'Cash-flow'!B35</f>
        <v>Marketing and lead generation, plus events/promosions</v>
      </c>
      <c r="B33" s="39"/>
      <c r="C33" s="204"/>
      <c r="D33" s="204">
        <f>'Cash-flow'!P35</f>
        <v>134000</v>
      </c>
      <c r="E33" s="204"/>
      <c r="F33" s="44"/>
      <c r="G33" s="204"/>
      <c r="H33" s="204"/>
      <c r="I33" s="204">
        <f>'Cash-flow'!AD35</f>
        <v>144000</v>
      </c>
      <c r="J33" s="204"/>
      <c r="K33" s="44"/>
      <c r="L33" s="204"/>
      <c r="M33" s="204">
        <f>'Cash-flow'!AR35</f>
        <v>180000</v>
      </c>
      <c r="N33" s="204"/>
      <c r="O33" s="44"/>
    </row>
    <row r="34" spans="1:15" x14ac:dyDescent="0.3">
      <c r="A34" s="43" t="str">
        <f>'Cash-flow'!B36</f>
        <v>Promotional film</v>
      </c>
      <c r="B34" s="39"/>
      <c r="C34" s="204"/>
      <c r="D34" s="204">
        <f>'Cash-flow'!P36</f>
        <v>5600</v>
      </c>
      <c r="E34" s="204"/>
      <c r="F34" s="44"/>
      <c r="G34" s="204"/>
      <c r="H34" s="204"/>
      <c r="I34" s="204">
        <f>'Cash-flow'!AD36</f>
        <v>3708</v>
      </c>
      <c r="J34" s="204"/>
      <c r="K34" s="44"/>
      <c r="L34" s="204"/>
      <c r="M34" s="204">
        <f>'Cash-flow'!AR36</f>
        <v>3819.24</v>
      </c>
      <c r="N34" s="204"/>
      <c r="O34" s="44"/>
    </row>
    <row r="35" spans="1:15" x14ac:dyDescent="0.3">
      <c r="A35" s="43"/>
      <c r="B35" s="39"/>
      <c r="C35" s="204"/>
      <c r="D35" s="204">
        <f>'Cash-flow'!P37</f>
        <v>0</v>
      </c>
      <c r="E35" s="204"/>
      <c r="F35" s="44"/>
      <c r="G35" s="204"/>
      <c r="H35" s="204"/>
      <c r="I35" s="204">
        <f>'Cash-flow'!AD37</f>
        <v>0</v>
      </c>
      <c r="J35" s="204"/>
      <c r="K35" s="44"/>
      <c r="L35" s="204"/>
      <c r="M35" s="204">
        <f>'Cash-flow'!AR37</f>
        <v>0</v>
      </c>
      <c r="N35" s="204"/>
      <c r="O35" s="44"/>
    </row>
    <row r="36" spans="1:15" x14ac:dyDescent="0.3">
      <c r="A36" s="43"/>
      <c r="B36" s="39"/>
      <c r="C36" s="204"/>
      <c r="D36" s="204">
        <f>'Cash-flow'!P38</f>
        <v>0</v>
      </c>
      <c r="E36" s="204"/>
      <c r="F36" s="44"/>
      <c r="G36" s="204"/>
      <c r="H36" s="204"/>
      <c r="I36" s="204">
        <f>'Cash-flow'!AD38</f>
        <v>0</v>
      </c>
      <c r="J36" s="204"/>
      <c r="K36" s="44"/>
      <c r="L36" s="204"/>
      <c r="M36" s="204">
        <f>'Cash-flow'!AR38</f>
        <v>0</v>
      </c>
      <c r="N36" s="204"/>
      <c r="O36" s="44"/>
    </row>
    <row r="37" spans="1:15" x14ac:dyDescent="0.3">
      <c r="A37" s="43"/>
      <c r="B37" s="39"/>
      <c r="C37" s="204"/>
      <c r="D37" s="204"/>
      <c r="E37" s="204"/>
      <c r="F37" s="44"/>
      <c r="G37" s="204"/>
      <c r="H37" s="204"/>
      <c r="I37" s="204"/>
      <c r="J37" s="204"/>
      <c r="K37" s="44"/>
      <c r="L37" s="204"/>
      <c r="M37" s="204"/>
      <c r="N37" s="204"/>
      <c r="O37" s="44"/>
    </row>
    <row r="38" spans="1:15" x14ac:dyDescent="0.3">
      <c r="A38" s="43"/>
      <c r="B38" s="39"/>
      <c r="C38" s="204"/>
      <c r="D38" s="204"/>
      <c r="E38" s="204"/>
      <c r="F38" s="44"/>
      <c r="G38" s="204"/>
      <c r="H38" s="204"/>
      <c r="I38" s="204"/>
      <c r="J38" s="204"/>
      <c r="K38" s="44"/>
      <c r="L38" s="204"/>
      <c r="M38" s="204"/>
      <c r="N38" s="204"/>
      <c r="O38" s="44"/>
    </row>
    <row r="39" spans="1:15" x14ac:dyDescent="0.3">
      <c r="A39" s="43"/>
      <c r="B39" s="39"/>
      <c r="C39" s="204"/>
      <c r="D39" s="204"/>
      <c r="E39" s="204"/>
      <c r="F39" s="44"/>
      <c r="G39" s="204"/>
      <c r="H39" s="204"/>
      <c r="I39" s="204"/>
      <c r="J39" s="204"/>
      <c r="K39" s="44"/>
      <c r="L39" s="204"/>
      <c r="M39" s="204"/>
      <c r="N39" s="204"/>
      <c r="O39" s="44"/>
    </row>
    <row r="40" spans="1:15" x14ac:dyDescent="0.3">
      <c r="A40" s="43"/>
      <c r="B40" s="39"/>
      <c r="C40" s="204"/>
      <c r="D40" s="204"/>
      <c r="E40" s="204"/>
      <c r="F40" s="44"/>
      <c r="G40" s="204"/>
      <c r="H40" s="204"/>
      <c r="I40" s="204"/>
      <c r="J40" s="204"/>
      <c r="K40" s="44"/>
      <c r="L40" s="204"/>
      <c r="M40" s="204"/>
      <c r="N40" s="204"/>
      <c r="O40" s="44"/>
    </row>
    <row r="41" spans="1:15" x14ac:dyDescent="0.3">
      <c r="A41" s="43"/>
      <c r="B41" s="39"/>
      <c r="C41" s="204"/>
      <c r="D41" s="204"/>
      <c r="E41" s="204"/>
      <c r="F41" s="44"/>
      <c r="G41" s="204"/>
      <c r="H41" s="204"/>
      <c r="I41" s="204"/>
      <c r="J41" s="204"/>
      <c r="K41" s="44"/>
      <c r="L41" s="204"/>
      <c r="M41" s="204">
        <f>'Cash-flow'!AR39</f>
        <v>0</v>
      </c>
      <c r="N41" s="204"/>
      <c r="O41" s="44"/>
    </row>
    <row r="42" spans="1:15" x14ac:dyDescent="0.3">
      <c r="A42" s="43"/>
      <c r="B42" s="39"/>
      <c r="C42" s="204"/>
      <c r="D42" s="204"/>
      <c r="E42" s="204"/>
      <c r="F42" s="44"/>
      <c r="G42" s="204"/>
      <c r="H42" s="204"/>
      <c r="I42" s="204"/>
      <c r="J42" s="204"/>
      <c r="K42" s="44"/>
      <c r="L42" s="204"/>
      <c r="M42" s="204"/>
      <c r="N42" s="204"/>
      <c r="O42" s="44"/>
    </row>
    <row r="43" spans="1:15" x14ac:dyDescent="0.3">
      <c r="A43" s="39"/>
      <c r="B43" s="39"/>
      <c r="C43" s="45"/>
      <c r="D43" s="45">
        <f>SUM(D20:D42)-D47</f>
        <v>422890</v>
      </c>
      <c r="E43" s="45"/>
      <c r="F43" s="45"/>
      <c r="G43" s="45"/>
      <c r="H43" s="45"/>
      <c r="I43" s="45">
        <f>SUM(I20:I42)</f>
        <v>431854.5</v>
      </c>
      <c r="J43" s="45"/>
      <c r="K43" s="45"/>
      <c r="L43" s="45"/>
      <c r="M43" s="45">
        <f>SUM(M20:M42)</f>
        <v>476490.13500000001</v>
      </c>
      <c r="N43" s="45"/>
      <c r="O43" s="44"/>
    </row>
    <row r="44" spans="1:15" x14ac:dyDescent="0.3">
      <c r="A44" s="39"/>
      <c r="B44" s="39"/>
      <c r="C44" s="45"/>
      <c r="D44" s="45">
        <f>SUM(D43+D46)</f>
        <v>422890</v>
      </c>
      <c r="E44" s="45">
        <f t="shared" ref="E44:M44" si="0">SUM(E43+E46)</f>
        <v>0</v>
      </c>
      <c r="F44" s="45">
        <f t="shared" si="0"/>
        <v>0</v>
      </c>
      <c r="G44" s="45">
        <f t="shared" si="0"/>
        <v>0</v>
      </c>
      <c r="H44" s="45">
        <f t="shared" si="0"/>
        <v>0</v>
      </c>
      <c r="I44" s="45">
        <f t="shared" si="0"/>
        <v>431854.5</v>
      </c>
      <c r="J44" s="45">
        <f t="shared" si="0"/>
        <v>0</v>
      </c>
      <c r="K44" s="45">
        <f t="shared" si="0"/>
        <v>0</v>
      </c>
      <c r="L44" s="45">
        <f t="shared" si="0"/>
        <v>0</v>
      </c>
      <c r="M44" s="45">
        <f t="shared" si="0"/>
        <v>476490.13500000001</v>
      </c>
      <c r="N44" s="45"/>
      <c r="O44" s="44"/>
    </row>
    <row r="45" spans="1:15" x14ac:dyDescent="0.3">
      <c r="A45" s="43" t="s">
        <v>31</v>
      </c>
      <c r="B45" s="39"/>
      <c r="C45" s="204">
        <v>0</v>
      </c>
      <c r="D45" s="204">
        <v>0</v>
      </c>
      <c r="E45" s="204"/>
      <c r="F45" s="44"/>
      <c r="G45" s="204">
        <v>0</v>
      </c>
      <c r="H45" s="204">
        <v>0</v>
      </c>
      <c r="I45" s="204">
        <v>0</v>
      </c>
      <c r="J45" s="204"/>
      <c r="K45" s="44"/>
      <c r="L45" s="204">
        <v>0</v>
      </c>
      <c r="M45" s="204">
        <v>0</v>
      </c>
      <c r="N45" s="204"/>
      <c r="O45" s="44"/>
    </row>
    <row r="46" spans="1:15" x14ac:dyDescent="0.3">
      <c r="A46" s="43" t="s">
        <v>46</v>
      </c>
      <c r="B46" s="39"/>
      <c r="C46" s="204">
        <v>0</v>
      </c>
      <c r="D46" s="204"/>
      <c r="E46" s="205"/>
      <c r="F46" s="206"/>
      <c r="G46" s="205"/>
      <c r="H46" s="205"/>
      <c r="I46" s="207"/>
      <c r="J46" s="205"/>
      <c r="K46" s="206"/>
      <c r="L46" s="205"/>
      <c r="M46" s="207"/>
      <c r="N46" s="205">
        <f>J46</f>
        <v>0</v>
      </c>
      <c r="O46" s="44"/>
    </row>
    <row r="47" spans="1:15" x14ac:dyDescent="0.3">
      <c r="A47" s="43" t="s">
        <v>41</v>
      </c>
      <c r="B47" s="39"/>
      <c r="C47" s="204"/>
      <c r="D47" s="204"/>
      <c r="E47" s="205"/>
      <c r="F47" s="206"/>
      <c r="G47" s="205"/>
      <c r="H47" s="207"/>
      <c r="I47" s="207"/>
      <c r="J47" s="207"/>
      <c r="K47" s="193"/>
      <c r="L47" s="207"/>
      <c r="M47" s="207"/>
      <c r="N47" s="205"/>
      <c r="O47" s="44"/>
    </row>
    <row r="48" spans="1:15" x14ac:dyDescent="0.3">
      <c r="A48" s="43" t="s">
        <v>32</v>
      </c>
      <c r="B48" s="39"/>
      <c r="C48" s="204">
        <v>0</v>
      </c>
      <c r="D48" s="204">
        <v>0</v>
      </c>
      <c r="E48" s="205">
        <f>D44-D44-D44</f>
        <v>-422890</v>
      </c>
      <c r="F48" s="44"/>
      <c r="G48" s="204">
        <v>0</v>
      </c>
      <c r="H48" s="204">
        <v>0</v>
      </c>
      <c r="I48" s="204">
        <v>0</v>
      </c>
      <c r="J48" s="205">
        <f>I44-I44-I44</f>
        <v>-431854.5</v>
      </c>
      <c r="K48" s="206"/>
      <c r="L48" s="205">
        <v>0</v>
      </c>
      <c r="M48" s="205">
        <v>0</v>
      </c>
      <c r="N48" s="205">
        <f>M44-M44-M44</f>
        <v>-476490.13500000001</v>
      </c>
      <c r="O48" s="44"/>
    </row>
    <row r="49" spans="1:15" x14ac:dyDescent="0.3">
      <c r="B49" s="39"/>
      <c r="C49" s="208"/>
      <c r="D49" s="208"/>
      <c r="E49" s="209"/>
      <c r="F49" s="44"/>
      <c r="G49" s="208"/>
      <c r="H49" s="208"/>
      <c r="I49" s="208"/>
      <c r="J49" s="208"/>
      <c r="K49" s="44"/>
      <c r="L49" s="208"/>
      <c r="M49" s="208"/>
      <c r="N49" s="208"/>
      <c r="O49" s="44"/>
    </row>
    <row r="50" spans="1:15" x14ac:dyDescent="0.3">
      <c r="A50" s="43" t="s">
        <v>33</v>
      </c>
      <c r="B50" s="39"/>
      <c r="C50" s="204">
        <v>0</v>
      </c>
      <c r="D50" s="205">
        <v>0</v>
      </c>
      <c r="E50" s="207">
        <f>((E48+E18)+C47)</f>
        <v>24060</v>
      </c>
      <c r="F50" s="193"/>
      <c r="G50" s="207">
        <v>0</v>
      </c>
      <c r="H50" s="207">
        <v>0</v>
      </c>
      <c r="I50" s="207">
        <v>0</v>
      </c>
      <c r="J50" s="207">
        <f>(J48+J18)+H47</f>
        <v>1890745.5</v>
      </c>
      <c r="K50" s="193"/>
      <c r="L50" s="207">
        <v>0</v>
      </c>
      <c r="M50" s="207">
        <v>0</v>
      </c>
      <c r="N50" s="207">
        <f>(N48+N18)+L47</f>
        <v>4650309.8650000002</v>
      </c>
      <c r="O50" s="44"/>
    </row>
    <row r="51" spans="1:15" x14ac:dyDescent="0.3">
      <c r="A51" s="39"/>
      <c r="B51" s="39"/>
      <c r="C51" s="184"/>
      <c r="D51" s="184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44"/>
    </row>
    <row r="52" spans="1:15" x14ac:dyDescent="0.3">
      <c r="A52" s="39"/>
      <c r="B52" s="39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39"/>
    </row>
  </sheetData>
  <mergeCells count="4">
    <mergeCell ref="A2:G2"/>
    <mergeCell ref="C4:E4"/>
    <mergeCell ref="H4:J4"/>
    <mergeCell ref="L4:N4"/>
  </mergeCells>
  <conditionalFormatting sqref="C43:N44 L45:N50 C45:E52 G45:J52 L51:O51 L52:N52 C5:E42 G5:J42 L5:N42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85"/>
  <sheetViews>
    <sheetView topLeftCell="AL22" zoomScale="87" zoomScaleNormal="87" workbookViewId="0">
      <selection activeCell="BB9" sqref="BB9"/>
    </sheetView>
  </sheetViews>
  <sheetFormatPr defaultRowHeight="14.4" x14ac:dyDescent="0.3"/>
  <cols>
    <col min="1" max="1" width="28.5546875" bestFit="1" customWidth="1"/>
    <col min="2" max="2" width="39.21875" customWidth="1"/>
    <col min="3" max="6" width="12.5546875" customWidth="1"/>
    <col min="8" max="8" width="26" customWidth="1"/>
    <col min="9" max="9" width="9.77734375" bestFit="1" customWidth="1"/>
    <col min="11" max="11" width="37.5546875" customWidth="1"/>
    <col min="12" max="12" width="16.21875" customWidth="1"/>
    <col min="14" max="14" width="9.33203125" bestFit="1" customWidth="1"/>
    <col min="15" max="15" width="11.5546875" bestFit="1" customWidth="1"/>
    <col min="16" max="16" width="16.77734375" bestFit="1" customWidth="1"/>
    <col min="17" max="17" width="15.44140625" bestFit="1" customWidth="1"/>
    <col min="18" max="18" width="36.5546875" customWidth="1"/>
    <col min="20" max="20" width="12.44140625" bestFit="1" customWidth="1"/>
    <col min="21" max="21" width="24.5546875" bestFit="1" customWidth="1"/>
    <col min="22" max="22" width="10.44140625" bestFit="1" customWidth="1"/>
    <col min="23" max="23" width="11" bestFit="1" customWidth="1"/>
    <col min="24" max="24" width="10.21875" bestFit="1" customWidth="1"/>
    <col min="25" max="25" width="11" customWidth="1"/>
    <col min="26" max="26" width="10.5546875" bestFit="1" customWidth="1"/>
    <col min="27" max="27" width="8.44140625" bestFit="1" customWidth="1"/>
    <col min="29" max="29" width="11.5546875" bestFit="1" customWidth="1"/>
    <col min="30" max="30" width="32.5546875" customWidth="1"/>
    <col min="31" max="31" width="9" bestFit="1" customWidth="1"/>
    <col min="32" max="32" width="7.77734375" bestFit="1" customWidth="1"/>
    <col min="33" max="34" width="9.44140625" bestFit="1" customWidth="1"/>
  </cols>
  <sheetData>
    <row r="1" spans="1:38" ht="15" thickBot="1" x14ac:dyDescent="0.35">
      <c r="B1" s="222" t="s">
        <v>39</v>
      </c>
      <c r="C1" s="222"/>
      <c r="D1" s="222"/>
      <c r="E1" s="222"/>
      <c r="F1" s="222"/>
      <c r="G1" s="7"/>
      <c r="H1" s="7"/>
      <c r="K1" s="222" t="s">
        <v>55</v>
      </c>
      <c r="L1" s="222"/>
      <c r="P1" s="175" t="s">
        <v>44</v>
      </c>
      <c r="Q1" s="175"/>
      <c r="R1" s="175"/>
      <c r="U1" s="182"/>
      <c r="V1" s="182"/>
      <c r="W1" s="182"/>
      <c r="X1" s="182"/>
      <c r="Y1" s="182"/>
      <c r="Z1" s="182"/>
      <c r="AA1" s="182"/>
      <c r="AD1" s="144"/>
      <c r="AE1" s="144"/>
      <c r="AF1" s="144"/>
      <c r="AG1" s="144"/>
      <c r="AH1" s="144"/>
    </row>
    <row r="2" spans="1:38" ht="13.5" customHeight="1" thickBot="1" x14ac:dyDescent="0.35">
      <c r="B2" s="234"/>
      <c r="C2" s="234" t="s">
        <v>3</v>
      </c>
      <c r="D2" s="234" t="s">
        <v>4</v>
      </c>
      <c r="E2" s="234" t="s">
        <v>5</v>
      </c>
      <c r="F2" s="234" t="s">
        <v>0</v>
      </c>
      <c r="K2" s="232"/>
      <c r="L2" s="232" t="s">
        <v>6</v>
      </c>
      <c r="M2" s="232" t="s">
        <v>94</v>
      </c>
      <c r="N2" s="232" t="s">
        <v>0</v>
      </c>
      <c r="P2" s="240"/>
      <c r="Q2" s="240"/>
      <c r="R2" s="240"/>
      <c r="U2" s="235" t="s">
        <v>3</v>
      </c>
      <c r="V2" s="237" t="s">
        <v>45</v>
      </c>
      <c r="W2" s="237" t="s">
        <v>16</v>
      </c>
      <c r="X2" s="237" t="s">
        <v>34</v>
      </c>
      <c r="Y2" s="237" t="s">
        <v>18</v>
      </c>
      <c r="Z2" s="237" t="s">
        <v>47</v>
      </c>
      <c r="AA2" s="237" t="s">
        <v>52</v>
      </c>
    </row>
    <row r="3" spans="1:38" ht="13.5" customHeight="1" thickBot="1" x14ac:dyDescent="0.35">
      <c r="B3" s="234"/>
      <c r="C3" s="234"/>
      <c r="D3" s="234"/>
      <c r="E3" s="234"/>
      <c r="F3" s="234"/>
      <c r="I3" s="134"/>
      <c r="K3" s="233"/>
      <c r="L3" s="233"/>
      <c r="M3" s="233"/>
      <c r="N3" s="233"/>
      <c r="P3" s="240"/>
      <c r="Q3" s="240"/>
      <c r="R3" s="240"/>
      <c r="U3" s="236"/>
      <c r="V3" s="237"/>
      <c r="W3" s="237"/>
      <c r="X3" s="237"/>
      <c r="Y3" s="237"/>
      <c r="Z3" s="237"/>
      <c r="AA3" s="237"/>
    </row>
    <row r="4" spans="1:38" ht="15" thickBot="1" x14ac:dyDescent="0.35">
      <c r="B4" s="82" t="s">
        <v>7</v>
      </c>
      <c r="C4" s="212">
        <f>'Profit and Loss'!E8</f>
        <v>1277000</v>
      </c>
      <c r="D4" s="212">
        <f>'Profit and Loss'!J8</f>
        <v>6636000</v>
      </c>
      <c r="E4" s="212">
        <f>'Profit and Loss'!N8</f>
        <v>14648000</v>
      </c>
      <c r="F4" s="212">
        <f>SUM(C4:E4)</f>
        <v>22561000</v>
      </c>
      <c r="I4" s="103"/>
      <c r="K4" s="74" t="str">
        <f>'Cash-flow'!B32</f>
        <v>Internet/hosting/ game development costs</v>
      </c>
      <c r="L4" s="210">
        <f>'Cash-flow'!C32</f>
        <v>58000</v>
      </c>
      <c r="M4" s="210">
        <f>SUM('Cash-flow'!D32:F32)</f>
        <v>30000</v>
      </c>
      <c r="N4" s="210">
        <f>SUM(L4:M4)</f>
        <v>88000</v>
      </c>
      <c r="P4" s="147"/>
      <c r="Q4" s="148"/>
      <c r="R4" s="148"/>
      <c r="S4" s="132">
        <v>6.5000000000000002E-2</v>
      </c>
      <c r="T4" s="130">
        <f>'Sales forecast'!Q18/'Sales forecast'!$Q$25</f>
        <v>0.11746280344557557</v>
      </c>
      <c r="U4" s="153" t="str">
        <f>'Sales forecast'!B18</f>
        <v>Financial Services Corporations A</v>
      </c>
      <c r="V4" s="154">
        <f>'Sales forecast'!Q18</f>
        <v>150000</v>
      </c>
      <c r="W4" s="154">
        <f>V4*S4</f>
        <v>9750</v>
      </c>
      <c r="X4" s="154">
        <f>V4-W4</f>
        <v>140250</v>
      </c>
      <c r="Y4" s="154">
        <f>Y10*T4</f>
        <v>0</v>
      </c>
      <c r="Z4" s="154">
        <f>V4-W4-Y4</f>
        <v>140250</v>
      </c>
      <c r="AA4" s="161">
        <f>Z4/V4</f>
        <v>0.93500000000000005</v>
      </c>
      <c r="AD4" s="235"/>
      <c r="AE4" s="237"/>
      <c r="AF4" s="238"/>
      <c r="AG4" s="238"/>
      <c r="AH4" s="238"/>
      <c r="AJ4" s="238"/>
      <c r="AK4" s="238"/>
      <c r="AL4" s="238"/>
    </row>
    <row r="5" spans="1:38" ht="15" thickBot="1" x14ac:dyDescent="0.35">
      <c r="B5" s="83" t="s">
        <v>16</v>
      </c>
      <c r="C5" s="213">
        <f>'Profit and Loss'!E16</f>
        <v>-830050</v>
      </c>
      <c r="D5" s="213">
        <f>'Profit and Loss'!J16</f>
        <v>-4313400</v>
      </c>
      <c r="E5" s="213">
        <f>'Profit and Loss'!N16</f>
        <v>-9521200</v>
      </c>
      <c r="F5" s="213">
        <f>SUM(C5:E5)</f>
        <v>-14664650</v>
      </c>
      <c r="I5" s="103"/>
      <c r="K5" s="75" t="str">
        <f>'Cash-flow'!B33</f>
        <v>Sundry expenses</v>
      </c>
      <c r="L5" s="211">
        <f>'Cash-flow'!C33</f>
        <v>1000</v>
      </c>
      <c r="M5" s="211">
        <f>'Cash-flow'!D33+'Cash-flow'!E33+'Cash-flow'!F33</f>
        <v>450</v>
      </c>
      <c r="N5" s="211">
        <f>SUM(L5:M5)</f>
        <v>1450</v>
      </c>
      <c r="P5" s="146"/>
      <c r="Q5" s="151"/>
      <c r="R5" s="150"/>
      <c r="S5" s="132">
        <v>6.5000000000000002E-2</v>
      </c>
      <c r="T5" s="130">
        <f>'Sales forecast'!Q19/'Sales forecast'!$Q$25</f>
        <v>0.2936570086139389</v>
      </c>
      <c r="U5" s="155" t="str">
        <f>'Sales forecast'!B19</f>
        <v>Financial Services Corporations B</v>
      </c>
      <c r="V5" s="156">
        <f>'Sales forecast'!Q19</f>
        <v>375000</v>
      </c>
      <c r="W5" s="156">
        <f t="shared" ref="W5:W7" si="0">V5*S5</f>
        <v>24375</v>
      </c>
      <c r="X5" s="156">
        <f>V5-W5</f>
        <v>350625</v>
      </c>
      <c r="Y5" s="156">
        <f>Y10*T5</f>
        <v>0</v>
      </c>
      <c r="Z5" s="156">
        <f>V5-W5-Y5</f>
        <v>350625</v>
      </c>
      <c r="AA5" s="162"/>
      <c r="AD5" s="236"/>
      <c r="AE5" s="237"/>
      <c r="AF5" s="239"/>
      <c r="AG5" s="239"/>
      <c r="AH5" s="239"/>
      <c r="AJ5" s="239"/>
      <c r="AK5" s="239"/>
      <c r="AL5" s="239"/>
    </row>
    <row r="6" spans="1:38" ht="15" thickBot="1" x14ac:dyDescent="0.35">
      <c r="B6" s="84" t="s">
        <v>34</v>
      </c>
      <c r="C6" s="214">
        <f>SUM(C4:C5)</f>
        <v>446950</v>
      </c>
      <c r="D6" s="214">
        <f>SUM(D4:D5)</f>
        <v>2322600</v>
      </c>
      <c r="E6" s="214">
        <f>SUM(E4:E5)</f>
        <v>5126800</v>
      </c>
      <c r="F6" s="214">
        <f>SUM(F4:F5)</f>
        <v>7896350</v>
      </c>
      <c r="I6" s="103"/>
      <c r="K6" s="74" t="str">
        <f>'Cash-flow'!B34</f>
        <v>Professional/legal fees</v>
      </c>
      <c r="L6" s="210">
        <f>'Cash-flow'!C34</f>
        <v>240</v>
      </c>
      <c r="M6" s="210">
        <f>'Cash-flow'!D34+'Cash-flow'!E34+'Cash-flow'!F34</f>
        <v>450</v>
      </c>
      <c r="N6" s="210">
        <f t="shared" ref="N6:N9" si="1">SUM(L6:M6)</f>
        <v>690</v>
      </c>
      <c r="P6" s="146"/>
      <c r="Q6" s="149"/>
      <c r="R6" s="149"/>
      <c r="S6" s="132">
        <v>6.5000000000000002E-2</v>
      </c>
      <c r="T6" s="130">
        <f>'Sales forecast'!Q20/'Sales forecast'!$Q$25</f>
        <v>0</v>
      </c>
      <c r="U6" s="153" t="str">
        <f>'Sales forecast'!B20</f>
        <v>Financial Services Corporations C</v>
      </c>
      <c r="V6" s="154">
        <f>'Sales forecast'!Q20</f>
        <v>0</v>
      </c>
      <c r="W6" s="154">
        <f t="shared" si="0"/>
        <v>0</v>
      </c>
      <c r="X6" s="154">
        <f>V6-W6</f>
        <v>0</v>
      </c>
      <c r="Y6" s="154">
        <f>Y10*T6</f>
        <v>0</v>
      </c>
      <c r="Z6" s="154">
        <f>V6-W6-Y6</f>
        <v>0</v>
      </c>
      <c r="AA6" s="161"/>
      <c r="AD6" s="167"/>
      <c r="AE6" s="170"/>
      <c r="AF6" s="169"/>
      <c r="AG6" s="169"/>
      <c r="AH6" s="169"/>
      <c r="AJ6" s="169"/>
      <c r="AK6" s="169"/>
      <c r="AL6" s="169"/>
    </row>
    <row r="7" spans="1:38" ht="39" customHeight="1" thickBot="1" x14ac:dyDescent="0.35">
      <c r="B7" s="85" t="s">
        <v>35</v>
      </c>
      <c r="C7" s="142">
        <f>C6/C4</f>
        <v>0.35</v>
      </c>
      <c r="D7" s="142">
        <f>D6/D4</f>
        <v>0.35</v>
      </c>
      <c r="E7" s="142">
        <f>E6/E4</f>
        <v>0.35</v>
      </c>
      <c r="F7" s="142"/>
      <c r="K7" s="75" t="str">
        <f>'Cash-flow'!B35</f>
        <v>Marketing and lead generation, plus events/promosions</v>
      </c>
      <c r="L7" s="211">
        <f>'Cash-flow'!C35</f>
        <v>29000</v>
      </c>
      <c r="M7" s="211">
        <f>'Cash-flow'!D35+'Cash-flow'!E35+'Cash-flow'!F35</f>
        <v>15000</v>
      </c>
      <c r="N7" s="211">
        <f t="shared" si="1"/>
        <v>44000</v>
      </c>
      <c r="S7" s="132">
        <v>6.5000000000000002E-2</v>
      </c>
      <c r="T7" s="130">
        <f>'Sales forecast'!Q21/'Sales forecast'!$Q$25</f>
        <v>0.39154267815191857</v>
      </c>
      <c r="U7" s="155" t="str">
        <f>'Sales forecast'!B21</f>
        <v>Countries - upfront royalties</v>
      </c>
      <c r="V7" s="156">
        <f>'Sales forecast'!Q21</f>
        <v>500000</v>
      </c>
      <c r="W7" s="156">
        <f t="shared" si="0"/>
        <v>32500</v>
      </c>
      <c r="X7" s="156">
        <f>V7-W7</f>
        <v>467500</v>
      </c>
      <c r="Y7" s="156">
        <f>Y10*T7</f>
        <v>0</v>
      </c>
      <c r="Z7" s="156">
        <f>V7-W7-Y7</f>
        <v>467500</v>
      </c>
      <c r="AA7" s="162">
        <f t="shared" ref="AA7:AA8" si="2">Z7/V7</f>
        <v>0.93500000000000005</v>
      </c>
      <c r="AD7" s="168"/>
      <c r="AE7" s="171"/>
      <c r="AF7" s="172"/>
      <c r="AG7" s="172"/>
      <c r="AH7" s="172"/>
      <c r="AJ7" s="172"/>
      <c r="AK7" s="172"/>
      <c r="AL7" s="172"/>
    </row>
    <row r="8" spans="1:38" ht="39" customHeight="1" thickBot="1" x14ac:dyDescent="0.35">
      <c r="B8" s="84" t="s">
        <v>18</v>
      </c>
      <c r="C8" s="215">
        <f>'Profit and Loss'!D43-'Profit and Loss'!D43-'Profit and Loss'!D43</f>
        <v>-422890</v>
      </c>
      <c r="D8" s="215">
        <f>'Profit and Loss'!I43-'Profit and Loss'!I43-'Profit and Loss'!I43</f>
        <v>-431854.5</v>
      </c>
      <c r="E8" s="215">
        <f>'Profit and Loss'!M43-'Profit and Loss'!M43-'Profit and Loss'!M43</f>
        <v>-476490.13500000001</v>
      </c>
      <c r="F8" s="215">
        <f>SUM(C8:E8)</f>
        <v>-1331234.635</v>
      </c>
      <c r="I8" s="118"/>
      <c r="K8" s="74" t="str">
        <f>'Cash-flow'!B36</f>
        <v>Promotional film</v>
      </c>
      <c r="L8" s="210">
        <f>'Cash-flow'!C36</f>
        <v>2000</v>
      </c>
      <c r="M8" s="210">
        <f>'Cash-flow'!D36+'Cash-flow'!E36+'Cash-flow'!F36</f>
        <v>900</v>
      </c>
      <c r="N8" s="210">
        <f t="shared" si="1"/>
        <v>2900</v>
      </c>
      <c r="S8" s="132"/>
      <c r="T8" s="132"/>
      <c r="U8" s="153" t="s">
        <v>0</v>
      </c>
      <c r="V8" s="154">
        <f>SUM(V4:V7)</f>
        <v>1025000</v>
      </c>
      <c r="W8" s="154">
        <f t="shared" ref="W8" si="3">V8*S8</f>
        <v>0</v>
      </c>
      <c r="X8" s="154">
        <f>V8-W8</f>
        <v>1025000</v>
      </c>
      <c r="Y8" s="154" t="e">
        <f>Y12*T8</f>
        <v>#VALUE!</v>
      </c>
      <c r="Z8" s="154">
        <f>SUM(Z4:Z7)</f>
        <v>958375</v>
      </c>
      <c r="AA8" s="161">
        <f t="shared" si="2"/>
        <v>0.93500000000000005</v>
      </c>
      <c r="AB8" s="132"/>
      <c r="AD8" s="167"/>
      <c r="AE8" s="170"/>
      <c r="AF8" s="173"/>
      <c r="AG8" s="173"/>
      <c r="AH8" s="173"/>
      <c r="AJ8" s="173"/>
      <c r="AK8" s="173"/>
      <c r="AL8" s="173"/>
    </row>
    <row r="9" spans="1:38" ht="21" customHeight="1" thickBot="1" x14ac:dyDescent="0.35">
      <c r="B9" s="140" t="s">
        <v>42</v>
      </c>
      <c r="C9" s="216">
        <f>C8+C6</f>
        <v>24060</v>
      </c>
      <c r="D9" s="216">
        <f t="shared" ref="D9:F9" si="4">D8+D6</f>
        <v>1890745.5</v>
      </c>
      <c r="E9" s="216">
        <f t="shared" si="4"/>
        <v>4650309.8650000002</v>
      </c>
      <c r="F9" s="216">
        <f t="shared" si="4"/>
        <v>6565115.3650000002</v>
      </c>
      <c r="I9" s="118"/>
      <c r="J9" s="128"/>
      <c r="K9" s="75" t="str">
        <f>'Cash-flow'!B31</f>
        <v>Training and development</v>
      </c>
      <c r="L9" s="211">
        <f>'Cash-flow'!C31</f>
        <v>58000</v>
      </c>
      <c r="M9" s="211">
        <f>'Cash-flow'!D31+'Cash-flow'!E31+'Cash-flow'!F31</f>
        <v>30000</v>
      </c>
      <c r="N9" s="211">
        <f t="shared" si="1"/>
        <v>88000</v>
      </c>
      <c r="S9" s="132"/>
      <c r="T9" s="132"/>
      <c r="U9" s="132"/>
      <c r="V9" s="132"/>
      <c r="W9" s="132"/>
      <c r="X9" s="132"/>
      <c r="Y9" s="132"/>
      <c r="Z9" s="132"/>
      <c r="AA9" s="132"/>
      <c r="AB9" s="132"/>
      <c r="AD9" s="168"/>
      <c r="AE9" s="171"/>
      <c r="AF9" s="172"/>
      <c r="AG9" s="172"/>
      <c r="AH9" s="172"/>
      <c r="AJ9" s="172"/>
      <c r="AK9" s="172"/>
      <c r="AL9" s="172"/>
    </row>
    <row r="10" spans="1:38" ht="21" customHeight="1" thickBot="1" x14ac:dyDescent="0.35">
      <c r="A10" s="7"/>
      <c r="B10" s="139" t="s">
        <v>43</v>
      </c>
      <c r="C10" s="143">
        <f>C9/C4</f>
        <v>1.8841033672670322E-2</v>
      </c>
      <c r="D10" s="143">
        <f>D9/D4</f>
        <v>0.28492246835443036</v>
      </c>
      <c r="E10" s="143">
        <f>E9/E4</f>
        <v>0.31747063524030583</v>
      </c>
      <c r="F10" s="143"/>
      <c r="G10" s="7"/>
      <c r="I10" s="118"/>
      <c r="J10" s="128"/>
      <c r="K10" s="74" t="s">
        <v>95</v>
      </c>
      <c r="L10" s="210"/>
      <c r="M10" s="210"/>
      <c r="N10" s="210">
        <v>22050</v>
      </c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D10" s="167"/>
      <c r="AE10" s="170"/>
      <c r="AF10" s="173"/>
      <c r="AG10" s="173"/>
      <c r="AH10" s="173"/>
      <c r="AJ10" s="173"/>
      <c r="AK10" s="173"/>
      <c r="AL10" s="173"/>
    </row>
    <row r="11" spans="1:38" ht="15" thickBot="1" x14ac:dyDescent="0.35">
      <c r="I11" s="118"/>
      <c r="J11" s="70"/>
      <c r="K11" s="75" t="s">
        <v>56</v>
      </c>
      <c r="L11" s="211"/>
      <c r="M11" s="211"/>
      <c r="N11" s="211">
        <f>'Cash-flow'!F44</f>
        <v>2910</v>
      </c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D11" s="168"/>
      <c r="AE11" s="171"/>
      <c r="AF11" s="172"/>
      <c r="AG11" s="172"/>
      <c r="AH11" s="172"/>
      <c r="AJ11" s="172"/>
      <c r="AK11" s="172"/>
      <c r="AL11" s="172"/>
    </row>
    <row r="12" spans="1:38" ht="15" thickBot="1" x14ac:dyDescent="0.35">
      <c r="K12" s="74" t="s">
        <v>71</v>
      </c>
      <c r="L12" s="210">
        <f>SUM(L4:L11)</f>
        <v>148240</v>
      </c>
      <c r="M12" s="210">
        <f>SUM(M4:M11)</f>
        <v>76800</v>
      </c>
      <c r="N12" s="210">
        <f>SUM(N4:N11)</f>
        <v>250000</v>
      </c>
      <c r="S12" s="132"/>
      <c r="T12" s="132"/>
      <c r="U12" s="235" t="s">
        <v>3</v>
      </c>
      <c r="V12" s="237" t="s">
        <v>45</v>
      </c>
      <c r="W12" s="237" t="s">
        <v>16</v>
      </c>
      <c r="X12" s="237" t="s">
        <v>34</v>
      </c>
      <c r="Y12" s="237" t="s">
        <v>18</v>
      </c>
      <c r="Z12" s="237" t="s">
        <v>47</v>
      </c>
      <c r="AA12" s="237" t="s">
        <v>52</v>
      </c>
      <c r="AB12" s="132"/>
      <c r="AD12" s="167"/>
      <c r="AE12" s="170"/>
      <c r="AF12" s="173"/>
      <c r="AG12" s="173"/>
      <c r="AH12" s="173"/>
      <c r="AJ12" s="173"/>
      <c r="AK12" s="173"/>
      <c r="AL12" s="173"/>
    </row>
    <row r="13" spans="1:38" ht="15" thickBot="1" x14ac:dyDescent="0.35">
      <c r="S13" s="132"/>
      <c r="T13" s="132"/>
      <c r="U13" s="236"/>
      <c r="V13" s="237"/>
      <c r="W13" s="237"/>
      <c r="X13" s="237"/>
      <c r="Y13" s="237"/>
      <c r="Z13" s="237"/>
      <c r="AA13" s="237"/>
      <c r="AB13" s="132"/>
      <c r="AD13" s="168"/>
      <c r="AE13" s="171"/>
      <c r="AF13" s="157"/>
      <c r="AG13" s="156"/>
      <c r="AH13" s="156"/>
      <c r="AJ13" s="157"/>
      <c r="AK13" s="156"/>
      <c r="AL13" s="156"/>
    </row>
    <row r="14" spans="1:38" ht="15" thickBot="1" x14ac:dyDescent="0.35">
      <c r="T14">
        <f>V14/V16</f>
        <v>0.41111981205951448</v>
      </c>
      <c r="U14" s="153" t="s">
        <v>102</v>
      </c>
      <c r="V14" s="154">
        <f>'Sales forecast'!Q18+'Sales forecast'!Q19+'Sales forecast'!Q20</f>
        <v>525000</v>
      </c>
      <c r="W14" s="154">
        <f>V14*0.65</f>
        <v>341250</v>
      </c>
      <c r="X14" s="154">
        <f>V14-W14</f>
        <v>183750</v>
      </c>
      <c r="Y14" s="154">
        <f>Y17*T14</f>
        <v>173858.45732184808</v>
      </c>
      <c r="Z14" s="154">
        <f>V14-W14-Y14</f>
        <v>9891.54267815192</v>
      </c>
      <c r="AA14" s="161">
        <f>Z14/V14</f>
        <v>1.8841033672670322E-2</v>
      </c>
      <c r="AD14" s="167"/>
      <c r="AE14" s="170"/>
      <c r="AF14" s="158"/>
      <c r="AG14" s="154"/>
      <c r="AH14" s="154"/>
      <c r="AJ14" s="158"/>
      <c r="AK14" s="154"/>
      <c r="AL14" s="154"/>
    </row>
    <row r="15" spans="1:38" ht="15" thickBot="1" x14ac:dyDescent="0.35">
      <c r="T15">
        <f>V15/V16</f>
        <v>0.58888018794048547</v>
      </c>
      <c r="U15" s="155" t="s">
        <v>103</v>
      </c>
      <c r="V15" s="156">
        <f>'Sales forecast'!Q21+'Sales forecast'!Q22+'Sales forecast'!Q23</f>
        <v>752000</v>
      </c>
      <c r="W15" s="156">
        <f>V15*0.65</f>
        <v>488800</v>
      </c>
      <c r="X15" s="156">
        <f>V15-W15</f>
        <v>263200</v>
      </c>
      <c r="Y15" s="156">
        <f>Y17*T15</f>
        <v>249031.54267815189</v>
      </c>
      <c r="Z15" s="156">
        <f>V15-W15-Y15</f>
        <v>14168.457321848109</v>
      </c>
      <c r="AA15" s="162">
        <f>Z15/V15</f>
        <v>1.8841033672670357E-2</v>
      </c>
      <c r="AD15" s="168"/>
      <c r="AE15" s="171"/>
      <c r="AF15" s="174"/>
      <c r="AG15" s="174"/>
      <c r="AH15" s="174"/>
      <c r="AJ15" s="174"/>
      <c r="AK15" s="174"/>
      <c r="AL15" s="174"/>
    </row>
    <row r="16" spans="1:38" ht="15" thickBot="1" x14ac:dyDescent="0.35">
      <c r="C16" s="101"/>
      <c r="D16" s="101"/>
      <c r="E16" s="101"/>
      <c r="U16" s="153" t="s">
        <v>0</v>
      </c>
      <c r="V16" s="154">
        <f>SUM(V14:V15)</f>
        <v>1277000</v>
      </c>
      <c r="W16" s="154">
        <f>SUM(W14:W15)</f>
        <v>830050</v>
      </c>
      <c r="X16" s="154">
        <f>V16-W16</f>
        <v>446950</v>
      </c>
      <c r="Y16" s="154">
        <f>SUM(Y14:Y15)</f>
        <v>422890</v>
      </c>
      <c r="Z16" s="154">
        <f>V16-W16-Y16</f>
        <v>24060</v>
      </c>
      <c r="AA16" s="161">
        <f>Z16/V16</f>
        <v>1.8841033672670322E-2</v>
      </c>
      <c r="AC16" s="152"/>
    </row>
    <row r="17" spans="3:33" x14ac:dyDescent="0.3">
      <c r="C17" s="101"/>
      <c r="D17" s="101"/>
      <c r="E17" s="101"/>
      <c r="U17" s="126"/>
      <c r="V17" s="126"/>
      <c r="W17" s="126"/>
      <c r="X17" s="126"/>
      <c r="Y17" s="121">
        <f>'Profit and Loss'!E48-'Profit and Loss'!E48-'Profit and Loss'!E48</f>
        <v>422890</v>
      </c>
      <c r="Z17" s="126"/>
      <c r="AA17" s="126"/>
      <c r="AD17" s="163"/>
      <c r="AE17" s="165"/>
      <c r="AF17" s="165"/>
      <c r="AG17" s="165"/>
    </row>
    <row r="18" spans="3:33" ht="15" thickBot="1" x14ac:dyDescent="0.35">
      <c r="C18" s="101"/>
      <c r="D18" s="101"/>
      <c r="E18" s="101"/>
      <c r="U18" s="126"/>
      <c r="V18" s="126"/>
      <c r="W18" s="126"/>
      <c r="X18" s="126"/>
      <c r="Y18" s="126"/>
      <c r="Z18" s="126"/>
      <c r="AA18" s="126"/>
      <c r="AD18" s="164"/>
      <c r="AE18" s="166"/>
      <c r="AF18" s="166"/>
      <c r="AG18" s="166"/>
    </row>
    <row r="19" spans="3:33" ht="15" thickBot="1" x14ac:dyDescent="0.35">
      <c r="C19" s="101"/>
      <c r="D19" s="101"/>
      <c r="E19" s="101"/>
      <c r="U19" s="235" t="s">
        <v>4</v>
      </c>
      <c r="V19" s="237" t="s">
        <v>45</v>
      </c>
      <c r="W19" s="237" t="s">
        <v>16</v>
      </c>
      <c r="X19" s="237" t="s">
        <v>34</v>
      </c>
      <c r="Y19" s="237" t="s">
        <v>18</v>
      </c>
      <c r="Z19" s="237" t="s">
        <v>47</v>
      </c>
      <c r="AA19" s="237" t="s">
        <v>52</v>
      </c>
      <c r="AD19" s="167"/>
      <c r="AE19" s="169"/>
      <c r="AF19" s="169"/>
      <c r="AG19" s="169"/>
    </row>
    <row r="20" spans="3:33" ht="15" thickBot="1" x14ac:dyDescent="0.35">
      <c r="U20" s="236"/>
      <c r="V20" s="237"/>
      <c r="W20" s="237"/>
      <c r="X20" s="237"/>
      <c r="Y20" s="237"/>
      <c r="Z20" s="237"/>
      <c r="AA20" s="237"/>
      <c r="AD20" s="168"/>
      <c r="AE20" s="172"/>
      <c r="AF20" s="172"/>
      <c r="AG20" s="172"/>
    </row>
    <row r="21" spans="3:33" ht="15" thickBot="1" x14ac:dyDescent="0.35">
      <c r="T21" s="130">
        <f>V21/V23</f>
        <v>0.13562386980108498</v>
      </c>
      <c r="U21" s="153" t="str">
        <f>U14</f>
        <v>Financial Services</v>
      </c>
      <c r="V21" s="224">
        <f>'Sales forecast'!AF18+'Sales forecast'!AF19+'Sales forecast'!AF20</f>
        <v>900000</v>
      </c>
      <c r="W21" s="224">
        <f>V21*0.65</f>
        <v>585000</v>
      </c>
      <c r="X21" s="224">
        <f>V21-W21</f>
        <v>315000</v>
      </c>
      <c r="Y21" s="224">
        <f>Y25*T21</f>
        <v>58569.778481012654</v>
      </c>
      <c r="Z21" s="224">
        <f>V21-W21-Y21</f>
        <v>256430.22151898735</v>
      </c>
      <c r="AA21" s="161">
        <f>Z21/V21</f>
        <v>0.28492246835443041</v>
      </c>
      <c r="AD21" s="167"/>
      <c r="AE21" s="173"/>
      <c r="AF21" s="173"/>
      <c r="AG21" s="173"/>
    </row>
    <row r="22" spans="3:33" ht="15" thickBot="1" x14ac:dyDescent="0.35">
      <c r="T22" s="130">
        <f>V22/V23</f>
        <v>0.86437613019891502</v>
      </c>
      <c r="U22" s="155" t="str">
        <f>U15</f>
        <v>Countries</v>
      </c>
      <c r="V22" s="225">
        <f>'Sales forecast'!AF21+'Sales forecast'!AF22+'Sales forecast'!AF23</f>
        <v>5736000</v>
      </c>
      <c r="W22" s="225">
        <f>V22*0.65</f>
        <v>3728400</v>
      </c>
      <c r="X22" s="225">
        <f>V22-W22</f>
        <v>2007600</v>
      </c>
      <c r="Y22" s="225">
        <f>Y25*T22</f>
        <v>373284.72151898732</v>
      </c>
      <c r="Z22" s="225">
        <f>V22-W22-Y22</f>
        <v>1634315.2784810127</v>
      </c>
      <c r="AA22" s="162">
        <f>Z22/V22</f>
        <v>0.28492246835443036</v>
      </c>
      <c r="AD22" s="168"/>
      <c r="AE22" s="172"/>
      <c r="AF22" s="172"/>
      <c r="AG22" s="172"/>
    </row>
    <row r="23" spans="3:33" ht="15" thickBot="1" x14ac:dyDescent="0.35">
      <c r="T23" s="130"/>
      <c r="U23" s="153" t="str">
        <f>U16</f>
        <v>Total</v>
      </c>
      <c r="V23" s="224">
        <f>SUM(V21:V22)</f>
        <v>6636000</v>
      </c>
      <c r="W23" s="224">
        <f>SUM(W21:W22)</f>
        <v>4313400</v>
      </c>
      <c r="X23" s="224">
        <f>V23-W23</f>
        <v>2322600</v>
      </c>
      <c r="Y23" s="224">
        <f>SUM(Y21:Y22)</f>
        <v>431854.5</v>
      </c>
      <c r="Z23" s="224">
        <f>V23-W23-Y23</f>
        <v>1890745.5</v>
      </c>
      <c r="AA23" s="161">
        <f>Z23/V23</f>
        <v>0.28492246835443036</v>
      </c>
      <c r="AD23" s="167"/>
      <c r="AE23" s="173"/>
      <c r="AF23" s="173"/>
      <c r="AG23" s="173"/>
    </row>
    <row r="24" spans="3:33" ht="15" thickBot="1" x14ac:dyDescent="0.35">
      <c r="U24" s="126"/>
      <c r="V24" s="126"/>
      <c r="W24" s="126"/>
      <c r="X24" s="126"/>
      <c r="Y24" s="121">
        <f>'Profit and Loss'!J48-'Profit and Loss'!J48-'Profit and Loss'!J48</f>
        <v>431854.5</v>
      </c>
      <c r="Z24" s="126"/>
      <c r="AA24" s="126"/>
      <c r="AD24" s="168"/>
      <c r="AE24" s="172"/>
      <c r="AF24" s="172"/>
      <c r="AG24" s="172"/>
    </row>
    <row r="25" spans="3:33" ht="15" thickBot="1" x14ac:dyDescent="0.35">
      <c r="U25" s="126"/>
      <c r="V25" s="126"/>
      <c r="W25" s="126"/>
      <c r="X25" s="126"/>
      <c r="Y25" s="126">
        <f>'Profit and Loss'!J48-'Profit and Loss'!J48-'Profit and Loss'!J48</f>
        <v>431854.5</v>
      </c>
      <c r="Z25" s="126"/>
      <c r="AA25" s="126"/>
      <c r="AD25" s="167"/>
      <c r="AE25" s="173"/>
      <c r="AF25" s="173"/>
      <c r="AG25" s="173"/>
    </row>
    <row r="26" spans="3:33" ht="15" thickBot="1" x14ac:dyDescent="0.35">
      <c r="P26" t="s">
        <v>96</v>
      </c>
      <c r="U26" s="235" t="s">
        <v>5</v>
      </c>
      <c r="V26" s="237" t="s">
        <v>45</v>
      </c>
      <c r="W26" s="237" t="s">
        <v>16</v>
      </c>
      <c r="X26" s="237" t="s">
        <v>34</v>
      </c>
      <c r="Y26" s="237" t="s">
        <v>18</v>
      </c>
      <c r="Z26" s="237" t="s">
        <v>47</v>
      </c>
      <c r="AA26" s="237" t="s">
        <v>52</v>
      </c>
      <c r="AD26" s="168"/>
      <c r="AE26" s="157"/>
      <c r="AF26" s="156"/>
      <c r="AG26" s="156"/>
    </row>
    <row r="27" spans="3:33" ht="15" thickBot="1" x14ac:dyDescent="0.35">
      <c r="U27" s="236"/>
      <c r="V27" s="237"/>
      <c r="W27" s="237"/>
      <c r="X27" s="237"/>
      <c r="Y27" s="237"/>
      <c r="Z27" s="237"/>
      <c r="AA27" s="237"/>
      <c r="AD27" s="167"/>
      <c r="AE27" s="158"/>
      <c r="AF27" s="154"/>
      <c r="AG27" s="154"/>
    </row>
    <row r="28" spans="3:33" ht="15" thickBot="1" x14ac:dyDescent="0.35">
      <c r="T28">
        <f>V28/V30</f>
        <v>0.10376843255051885</v>
      </c>
      <c r="U28" s="153" t="str">
        <f>U14</f>
        <v>Financial Services</v>
      </c>
      <c r="V28" s="224">
        <f>'Sales forecast'!AV18+'Sales forecast'!AV19+'Sales forecast'!AV20</f>
        <v>1520000</v>
      </c>
      <c r="W28" s="224">
        <f>V28*0.65</f>
        <v>988000</v>
      </c>
      <c r="X28" s="224">
        <f>V28-W28</f>
        <v>532000</v>
      </c>
      <c r="Y28" s="224">
        <f>$Y$31*T28</f>
        <v>49444.634434735119</v>
      </c>
      <c r="Z28" s="224">
        <f>V28-W28-Y28</f>
        <v>482555.36556526489</v>
      </c>
      <c r="AA28" s="161">
        <f>Z28/V28</f>
        <v>0.31747063524030583</v>
      </c>
      <c r="AD28" s="168"/>
      <c r="AE28" s="174"/>
      <c r="AF28" s="174"/>
      <c r="AG28" s="174"/>
    </row>
    <row r="29" spans="3:33" ht="15" thickBot="1" x14ac:dyDescent="0.35">
      <c r="P29" t="s">
        <v>96</v>
      </c>
      <c r="Q29" t="s">
        <v>98</v>
      </c>
      <c r="T29">
        <f>V29/V30</f>
        <v>0.89623156744948118</v>
      </c>
      <c r="U29" s="155" t="str">
        <f>U15</f>
        <v>Countries</v>
      </c>
      <c r="V29" s="225">
        <f>'Sales forecast'!AV21+'Sales forecast'!AV22+'Sales forecast'!AV23</f>
        <v>13128000</v>
      </c>
      <c r="W29" s="225">
        <f>V29*0.65</f>
        <v>8533200</v>
      </c>
      <c r="X29" s="225">
        <f>V29-W29</f>
        <v>4594800</v>
      </c>
      <c r="Y29" s="225">
        <f>$Y$31*T29</f>
        <v>427045.5005652649</v>
      </c>
      <c r="Z29" s="225">
        <f>V29-W29-Y29</f>
        <v>4167754.4994347352</v>
      </c>
      <c r="AA29" s="162">
        <f>Z29/V29</f>
        <v>0.31747063524030583</v>
      </c>
    </row>
    <row r="30" spans="3:33" ht="15" thickBot="1" x14ac:dyDescent="0.35">
      <c r="P30" t="s">
        <v>99</v>
      </c>
      <c r="Q30" s="118">
        <f>'Cash-flow'!C31+'Cash-flow'!D31+'Cash-flow'!E31+'Cash-flow'!F31</f>
        <v>88000</v>
      </c>
      <c r="U30" s="153" t="str">
        <f t="shared" ref="U30" si="5">U16</f>
        <v>Total</v>
      </c>
      <c r="V30" s="224">
        <f>SUM(V28:V29)</f>
        <v>14648000</v>
      </c>
      <c r="W30" s="224">
        <f>SUM(W28:W29)</f>
        <v>9521200</v>
      </c>
      <c r="X30" s="224">
        <f>V30-W30</f>
        <v>5126800</v>
      </c>
      <c r="Y30" s="224">
        <f>SUM(Y28:Y29)</f>
        <v>476490.13500000001</v>
      </c>
      <c r="Z30" s="224">
        <f>V30-W30-Y30</f>
        <v>4650309.8650000002</v>
      </c>
      <c r="AA30" s="161">
        <f>Z30/V30</f>
        <v>0.31747063524030583</v>
      </c>
    </row>
    <row r="31" spans="3:33" x14ac:dyDescent="0.3">
      <c r="P31" t="s">
        <v>97</v>
      </c>
      <c r="Q31" s="118">
        <f>'Cash-flow'!C32+'Cash-flow'!D32+'Cash-flow'!E32+'Cash-flow'!F32</f>
        <v>88000</v>
      </c>
      <c r="U31" s="126"/>
      <c r="V31" s="126"/>
      <c r="W31" s="126"/>
      <c r="X31" s="126"/>
      <c r="Y31" s="121">
        <f>'Profit and Loss'!N48-'Profit and Loss'!N48-'Profit and Loss'!N48</f>
        <v>476490.13500000001</v>
      </c>
      <c r="Z31" s="126"/>
      <c r="AA31" s="126"/>
    </row>
    <row r="32" spans="3:33" ht="15" thickBot="1" x14ac:dyDescent="0.35">
      <c r="P32" t="s">
        <v>68</v>
      </c>
      <c r="Q32" s="118">
        <f>'Cash-flow'!C35+'Cash-flow'!D35+'Cash-flow'!E35+'Cash-flow'!F35</f>
        <v>44000</v>
      </c>
      <c r="U32" s="126"/>
      <c r="V32" s="126"/>
      <c r="W32" s="126"/>
      <c r="X32" s="126"/>
      <c r="Y32" s="126"/>
      <c r="Z32" s="126"/>
      <c r="AA32" s="126"/>
      <c r="AC32" s="152"/>
    </row>
    <row r="33" spans="1:29" ht="15" thickBot="1" x14ac:dyDescent="0.35">
      <c r="B33" t="s">
        <v>3</v>
      </c>
      <c r="C33" t="s">
        <v>4</v>
      </c>
      <c r="D33" t="s">
        <v>5</v>
      </c>
      <c r="U33" s="235" t="s">
        <v>5</v>
      </c>
      <c r="V33" s="237" t="s">
        <v>45</v>
      </c>
      <c r="W33" s="237" t="s">
        <v>16</v>
      </c>
      <c r="X33" s="237" t="s">
        <v>34</v>
      </c>
      <c r="Y33" s="237" t="s">
        <v>18</v>
      </c>
      <c r="Z33" s="237" t="s">
        <v>47</v>
      </c>
      <c r="AA33" s="237" t="s">
        <v>52</v>
      </c>
    </row>
    <row r="34" spans="1:29" ht="15" thickBot="1" x14ac:dyDescent="0.35">
      <c r="A34" s="103" t="s">
        <v>100</v>
      </c>
      <c r="B34" s="118">
        <f>SUM('Sales forecast'!Q18+'Sales forecast'!Q20)</f>
        <v>150000</v>
      </c>
      <c r="C34" s="118">
        <f>'Sales forecast'!AF18+'Sales forecast'!AF19+'Sales forecast'!AF20</f>
        <v>900000</v>
      </c>
      <c r="D34" s="119">
        <f>'Sales forecast'!AV18+'Sales forecast'!AV19+'Sales forecast'!AV20</f>
        <v>1520000</v>
      </c>
      <c r="U34" s="236"/>
      <c r="V34" s="237"/>
      <c r="W34" s="237"/>
      <c r="X34" s="237"/>
      <c r="Y34" s="237"/>
      <c r="Z34" s="237"/>
      <c r="AA34" s="237"/>
    </row>
    <row r="35" spans="1:29" ht="15" thickBot="1" x14ac:dyDescent="0.35">
      <c r="A35" s="103" t="s">
        <v>101</v>
      </c>
      <c r="B35" s="118">
        <f>'Sales forecast'!Q21+'Sales forecast'!Q22+'Sales forecast'!Q23</f>
        <v>752000</v>
      </c>
      <c r="C35" s="118">
        <f>'Sales forecast'!AF21+'Sales forecast'!AF22+'Sales forecast'!AF23</f>
        <v>5736000</v>
      </c>
      <c r="D35" s="119">
        <f>'Sales forecast'!AV21+'Sales forecast'!AV22+'Sales forecast'!AV23</f>
        <v>13128000</v>
      </c>
      <c r="T35" s="130">
        <f>'Sales forecast'!AV18/'Sales forecast'!$AV$25</f>
        <v>1.8432550518842163E-2</v>
      </c>
      <c r="U35" s="153" t="str">
        <f>U21</f>
        <v>Financial Services</v>
      </c>
      <c r="V35" s="159">
        <f>'Sales forecast'!AV18</f>
        <v>270000</v>
      </c>
      <c r="W35" s="154">
        <f>V35*0.065</f>
        <v>17550</v>
      </c>
      <c r="X35" s="159">
        <f>V35-W35</f>
        <v>252450</v>
      </c>
      <c r="Y35" s="154">
        <f>$Y$41*T35</f>
        <v>170782.92848511742</v>
      </c>
      <c r="Z35" s="177">
        <f>V35-W35-Y35</f>
        <v>81667.071514882584</v>
      </c>
      <c r="AA35" s="161">
        <f>Z35/V35</f>
        <v>0.30247063524030587</v>
      </c>
    </row>
    <row r="36" spans="1:29" ht="15" thickBot="1" x14ac:dyDescent="0.35">
      <c r="A36" s="103"/>
      <c r="B36" s="118"/>
      <c r="C36" s="118"/>
      <c r="D36" s="119"/>
      <c r="T36" s="130">
        <f>'Sales forecast'!AV19/'Sales forecast'!$AV$25</f>
        <v>5.120152921900601E-2</v>
      </c>
      <c r="U36" s="155" t="str">
        <f>U22</f>
        <v>Countries</v>
      </c>
      <c r="V36" s="160">
        <f>'Sales forecast'!AV19</f>
        <v>750000</v>
      </c>
      <c r="W36" s="156">
        <f t="shared" ref="W36:W39" si="6">V36*0.065</f>
        <v>48750</v>
      </c>
      <c r="X36" s="156">
        <f>V36-W36</f>
        <v>701250</v>
      </c>
      <c r="Y36" s="156">
        <f t="shared" ref="Y36:Y38" si="7">$Y$41*T36</f>
        <v>474397.02356977062</v>
      </c>
      <c r="Z36" s="178">
        <f>V36-W36-Y36</f>
        <v>226852.97643022938</v>
      </c>
      <c r="AA36" s="162">
        <f>Z36/V36</f>
        <v>0.30247063524030582</v>
      </c>
    </row>
    <row r="37" spans="1:29" ht="15" thickBot="1" x14ac:dyDescent="0.35">
      <c r="A37" s="103"/>
      <c r="B37" s="118"/>
      <c r="C37" s="118"/>
      <c r="D37" s="119"/>
      <c r="T37" s="130">
        <f>'Sales forecast'!AV20/'Sales forecast'!$AV$25</f>
        <v>3.4134352812670674E-2</v>
      </c>
      <c r="U37" s="153" t="str">
        <f t="shared" ref="U37:U39" si="8">U23</f>
        <v>Total</v>
      </c>
      <c r="V37" s="159">
        <f>'Sales forecast'!AV20</f>
        <v>500000</v>
      </c>
      <c r="W37" s="154">
        <f t="shared" si="6"/>
        <v>32500</v>
      </c>
      <c r="X37" s="154">
        <f>V37-W37</f>
        <v>467500</v>
      </c>
      <c r="Y37" s="154">
        <f t="shared" si="7"/>
        <v>316264.6823798471</v>
      </c>
      <c r="Z37" s="177">
        <f>V37-W37-Y37</f>
        <v>151235.3176201529</v>
      </c>
      <c r="AA37" s="161">
        <f>Z37/V37</f>
        <v>0.30247063524030582</v>
      </c>
    </row>
    <row r="38" spans="1:29" ht="15" thickBot="1" x14ac:dyDescent="0.35">
      <c r="A38" s="103"/>
      <c r="B38" s="118">
        <f>SUM(B34:B37)</f>
        <v>902000</v>
      </c>
      <c r="C38" s="118">
        <f t="shared" ref="C38:D38" si="9">SUM(C34:C37)</f>
        <v>6636000</v>
      </c>
      <c r="D38" s="118">
        <f t="shared" si="9"/>
        <v>14648000</v>
      </c>
      <c r="T38" s="130">
        <f>'Sales forecast'!AV21/'Sales forecast'!$AV$25</f>
        <v>0.40961223375204808</v>
      </c>
      <c r="U38" s="155">
        <f t="shared" si="8"/>
        <v>0</v>
      </c>
      <c r="V38" s="160">
        <f>'Sales forecast'!AV21</f>
        <v>6000000</v>
      </c>
      <c r="W38" s="156">
        <f t="shared" si="6"/>
        <v>390000</v>
      </c>
      <c r="X38" s="156">
        <f>V38-W38</f>
        <v>5610000</v>
      </c>
      <c r="Y38" s="156">
        <f t="shared" si="7"/>
        <v>3795176.188558165</v>
      </c>
      <c r="Z38" s="178">
        <f>V38-W38-Y38</f>
        <v>1814823.811441835</v>
      </c>
      <c r="AA38" s="162">
        <f>Z38/V38</f>
        <v>0.30247063524030582</v>
      </c>
    </row>
    <row r="39" spans="1:29" ht="15" thickBot="1" x14ac:dyDescent="0.35">
      <c r="A39" s="103"/>
      <c r="B39" s="132">
        <f>B35/B38</f>
        <v>0.83370288248337032</v>
      </c>
      <c r="C39" s="132">
        <f t="shared" ref="C39:D39" si="10">C35/C38</f>
        <v>0.86437613019891502</v>
      </c>
      <c r="D39" s="132">
        <f t="shared" si="10"/>
        <v>0.89623156744948118</v>
      </c>
      <c r="U39" s="153">
        <f t="shared" si="8"/>
        <v>0</v>
      </c>
      <c r="V39" s="159">
        <f>SUM(V35:V38)</f>
        <v>7520000</v>
      </c>
      <c r="W39" s="154">
        <f t="shared" si="6"/>
        <v>488800</v>
      </c>
      <c r="X39" s="154">
        <f>V39-W39</f>
        <v>7031200</v>
      </c>
      <c r="Y39" s="154">
        <f>SUM(Y35:Y38)</f>
        <v>4756620.8229929004</v>
      </c>
      <c r="Z39" s="177">
        <f>V39-W39-Y39</f>
        <v>2274579.1770070996</v>
      </c>
      <c r="AA39" s="161">
        <f>Z39/V39</f>
        <v>0.30247063524030582</v>
      </c>
    </row>
    <row r="40" spans="1:29" x14ac:dyDescent="0.3">
      <c r="A40" s="103"/>
      <c r="B40" s="118"/>
      <c r="C40" s="118"/>
      <c r="D40" s="119"/>
      <c r="E40" s="118"/>
    </row>
    <row r="41" spans="1:29" x14ac:dyDescent="0.3">
      <c r="A41" s="103"/>
      <c r="B41" s="118"/>
      <c r="C41" s="118"/>
      <c r="D41" s="119"/>
      <c r="E41" s="118"/>
      <c r="Y41">
        <f>'Cash-flow'!AR40-'Cash-flow'!AR17-'Cash-flow'!AR16</f>
        <v>9265290.1349999998</v>
      </c>
    </row>
    <row r="42" spans="1:29" x14ac:dyDescent="0.3">
      <c r="A42" s="103"/>
      <c r="B42" s="118"/>
      <c r="C42" s="118"/>
      <c r="D42" s="119"/>
      <c r="E42" s="118"/>
      <c r="F42" t="s">
        <v>53</v>
      </c>
    </row>
    <row r="43" spans="1:29" x14ac:dyDescent="0.3">
      <c r="B43" s="103"/>
      <c r="C43" s="118"/>
      <c r="D43" s="118"/>
      <c r="E43" s="118"/>
      <c r="F43" s="103"/>
    </row>
    <row r="44" spans="1:29" x14ac:dyDescent="0.3">
      <c r="B44" s="103"/>
      <c r="C44" s="130"/>
      <c r="D44" s="119"/>
      <c r="E44" s="119"/>
      <c r="F44" s="103"/>
    </row>
    <row r="45" spans="1:29" x14ac:dyDescent="0.3">
      <c r="B45" s="103"/>
      <c r="C45" s="130"/>
      <c r="D45" s="119"/>
      <c r="E45" s="119"/>
      <c r="F45" s="103"/>
      <c r="AC45" s="176">
        <f>Z44-'Profit and Loss'!N50</f>
        <v>-4650309.8650000002</v>
      </c>
    </row>
    <row r="46" spans="1:29" x14ac:dyDescent="0.3">
      <c r="B46" s="103"/>
      <c r="C46" s="130"/>
      <c r="D46" s="119"/>
      <c r="E46" s="119"/>
      <c r="F46" s="103"/>
    </row>
    <row r="47" spans="1:29" x14ac:dyDescent="0.3">
      <c r="B47" s="103"/>
    </row>
    <row r="48" spans="1:29" x14ac:dyDescent="0.3">
      <c r="C48" s="118"/>
      <c r="D48" s="118"/>
      <c r="E48" s="118"/>
    </row>
    <row r="49" spans="2:5" x14ac:dyDescent="0.3">
      <c r="C49" s="118"/>
      <c r="D49" s="118"/>
      <c r="E49" s="118"/>
    </row>
    <row r="50" spans="2:5" x14ac:dyDescent="0.3">
      <c r="B50" s="103"/>
      <c r="C50" s="118"/>
      <c r="D50" s="118"/>
      <c r="E50" s="118"/>
    </row>
    <row r="51" spans="2:5" x14ac:dyDescent="0.3">
      <c r="B51" s="103"/>
      <c r="C51" s="118"/>
      <c r="D51" s="118"/>
      <c r="E51" s="118"/>
    </row>
    <row r="52" spans="2:5" x14ac:dyDescent="0.3">
      <c r="B52" s="103"/>
      <c r="C52" s="118"/>
      <c r="D52" s="118"/>
      <c r="E52" s="118"/>
    </row>
    <row r="53" spans="2:5" x14ac:dyDescent="0.3">
      <c r="B53" s="103"/>
      <c r="C53" s="132"/>
      <c r="D53" s="132"/>
      <c r="E53" s="132"/>
    </row>
    <row r="55" spans="2:5" x14ac:dyDescent="0.3">
      <c r="B55" s="103"/>
      <c r="C55" s="130"/>
      <c r="D55" s="131"/>
      <c r="E55" s="131"/>
    </row>
    <row r="56" spans="2:5" x14ac:dyDescent="0.3">
      <c r="C56" s="118"/>
      <c r="D56" s="118"/>
      <c r="E56" s="118"/>
    </row>
    <row r="58" spans="2:5" x14ac:dyDescent="0.3">
      <c r="C58" s="118"/>
      <c r="D58" s="118"/>
      <c r="E58" s="118"/>
    </row>
    <row r="59" spans="2:5" x14ac:dyDescent="0.3">
      <c r="B59" s="103"/>
      <c r="C59" s="118"/>
      <c r="D59" s="118"/>
      <c r="E59" s="118"/>
    </row>
    <row r="60" spans="2:5" x14ac:dyDescent="0.3">
      <c r="B60" s="103"/>
      <c r="C60" s="118"/>
      <c r="D60" s="118"/>
      <c r="E60" s="118"/>
    </row>
    <row r="61" spans="2:5" x14ac:dyDescent="0.3">
      <c r="B61" s="103"/>
      <c r="C61" s="118"/>
      <c r="D61" s="118"/>
      <c r="E61" s="118"/>
    </row>
    <row r="62" spans="2:5" x14ac:dyDescent="0.3">
      <c r="B62" s="103"/>
      <c r="C62" s="132"/>
      <c r="D62" s="132"/>
      <c r="E62" s="132"/>
    </row>
    <row r="65" spans="2:5" x14ac:dyDescent="0.3">
      <c r="B65" s="103"/>
      <c r="C65" s="130"/>
      <c r="D65" s="131"/>
      <c r="E65" s="131"/>
    </row>
    <row r="66" spans="2:5" x14ac:dyDescent="0.3">
      <c r="C66" s="118"/>
      <c r="D66" s="118"/>
      <c r="E66" s="118"/>
    </row>
    <row r="68" spans="2:5" x14ac:dyDescent="0.3">
      <c r="C68" s="118"/>
      <c r="D68" s="118"/>
      <c r="E68" s="118"/>
    </row>
    <row r="69" spans="2:5" x14ac:dyDescent="0.3">
      <c r="B69" s="103"/>
      <c r="C69" s="118"/>
      <c r="D69" s="118"/>
      <c r="E69" s="118"/>
    </row>
    <row r="70" spans="2:5" x14ac:dyDescent="0.3">
      <c r="B70" s="103"/>
      <c r="C70" s="118"/>
      <c r="D70" s="118"/>
      <c r="E70" s="118"/>
    </row>
    <row r="71" spans="2:5" x14ac:dyDescent="0.3">
      <c r="B71" s="103"/>
      <c r="C71" s="118"/>
      <c r="D71" s="118"/>
      <c r="E71" s="118"/>
    </row>
    <row r="72" spans="2:5" x14ac:dyDescent="0.3">
      <c r="B72" s="103"/>
      <c r="C72" s="132"/>
      <c r="D72" s="132"/>
      <c r="E72" s="132"/>
    </row>
    <row r="75" spans="2:5" x14ac:dyDescent="0.3">
      <c r="B75" s="103"/>
      <c r="C75" s="130"/>
      <c r="D75" s="131"/>
      <c r="E75" s="131"/>
    </row>
    <row r="76" spans="2:5" x14ac:dyDescent="0.3">
      <c r="C76" s="118"/>
      <c r="D76" s="118"/>
      <c r="E76" s="118"/>
    </row>
    <row r="78" spans="2:5" x14ac:dyDescent="0.3">
      <c r="C78" s="118"/>
      <c r="D78" s="118"/>
      <c r="E78" s="118"/>
    </row>
    <row r="79" spans="2:5" x14ac:dyDescent="0.3">
      <c r="B79" s="103"/>
      <c r="C79" s="118"/>
      <c r="D79" s="118"/>
      <c r="E79" s="118"/>
    </row>
    <row r="80" spans="2:5" x14ac:dyDescent="0.3">
      <c r="B80" s="103"/>
      <c r="C80" s="118"/>
      <c r="D80" s="118"/>
      <c r="E80" s="118"/>
    </row>
    <row r="81" spans="2:6" x14ac:dyDescent="0.3">
      <c r="B81" s="103"/>
      <c r="C81" s="118"/>
      <c r="D81" s="118"/>
      <c r="E81" s="118"/>
    </row>
    <row r="82" spans="2:6" x14ac:dyDescent="0.3">
      <c r="B82" s="103"/>
      <c r="C82" s="132"/>
      <c r="D82" s="132"/>
      <c r="E82" s="132"/>
    </row>
    <row r="84" spans="2:6" x14ac:dyDescent="0.3">
      <c r="C84" s="128"/>
      <c r="D84" s="128"/>
      <c r="E84" s="128"/>
      <c r="F84" s="128"/>
    </row>
    <row r="85" spans="2:6" x14ac:dyDescent="0.3">
      <c r="C85" s="128"/>
      <c r="D85" s="128"/>
      <c r="E85" s="128"/>
      <c r="F85" s="128"/>
    </row>
  </sheetData>
  <mergeCells count="55">
    <mergeCell ref="M2:M3"/>
    <mergeCell ref="N2:N3"/>
    <mergeCell ref="AA12:AA13"/>
    <mergeCell ref="U26:U27"/>
    <mergeCell ref="V26:V27"/>
    <mergeCell ref="W26:W27"/>
    <mergeCell ref="X26:X27"/>
    <mergeCell ref="Y26:Y27"/>
    <mergeCell ref="Z26:Z27"/>
    <mergeCell ref="AA26:AA27"/>
    <mergeCell ref="Z2:Z3"/>
    <mergeCell ref="AA2:AA3"/>
    <mergeCell ref="Y2:Y3"/>
    <mergeCell ref="P2:P3"/>
    <mergeCell ref="Q2:Q3"/>
    <mergeCell ref="R2:R3"/>
    <mergeCell ref="AJ4:AJ5"/>
    <mergeCell ref="AK4:AK5"/>
    <mergeCell ref="AL4:AL5"/>
    <mergeCell ref="Y33:Y34"/>
    <mergeCell ref="Z33:Z34"/>
    <mergeCell ref="AA33:AA34"/>
    <mergeCell ref="AD4:AD5"/>
    <mergeCell ref="AE4:AE5"/>
    <mergeCell ref="AF4:AF5"/>
    <mergeCell ref="AG4:AG5"/>
    <mergeCell ref="AH4:AH5"/>
    <mergeCell ref="Y19:Y20"/>
    <mergeCell ref="Z19:Z20"/>
    <mergeCell ref="AA19:AA20"/>
    <mergeCell ref="Y12:Y13"/>
    <mergeCell ref="Z12:Z13"/>
    <mergeCell ref="U33:U34"/>
    <mergeCell ref="V33:V34"/>
    <mergeCell ref="W33:W34"/>
    <mergeCell ref="X33:X34"/>
    <mergeCell ref="U2:U3"/>
    <mergeCell ref="U19:U20"/>
    <mergeCell ref="V19:V20"/>
    <mergeCell ref="W19:W20"/>
    <mergeCell ref="V2:V3"/>
    <mergeCell ref="W2:W3"/>
    <mergeCell ref="X19:X20"/>
    <mergeCell ref="U12:U13"/>
    <mergeCell ref="V12:V13"/>
    <mergeCell ref="W12:W13"/>
    <mergeCell ref="X12:X13"/>
    <mergeCell ref="X2:X3"/>
    <mergeCell ref="L2:L3"/>
    <mergeCell ref="C2:C3"/>
    <mergeCell ref="B2:B3"/>
    <mergeCell ref="D2:D3"/>
    <mergeCell ref="E2:E3"/>
    <mergeCell ref="F2:F3"/>
    <mergeCell ref="K2:K3"/>
  </mergeCells>
  <phoneticPr fontId="3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Sales forecast</vt:lpstr>
      <vt:lpstr>Cash-flow</vt:lpstr>
      <vt:lpstr>Profit and Loss</vt:lpstr>
      <vt:lpstr>Tables</vt:lpstr>
      <vt:lpstr>'Cash-flow'!Print_Area</vt:lpstr>
      <vt:lpstr>'Profit and Loss'!Print_Area</vt:lpstr>
      <vt:lpstr>'Sales forecast'!Print_Area</vt:lpstr>
      <vt:lpstr>'Cash-flow'!Print_Titles</vt:lpstr>
      <vt:lpstr>'Sales forecast'!Print_Titles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harris</dc:creator>
  <cp:lastModifiedBy>Jonathan Brill</cp:lastModifiedBy>
  <cp:lastPrinted>2016-12-11T12:59:33Z</cp:lastPrinted>
  <dcterms:created xsi:type="dcterms:W3CDTF">2015-01-14T10:39:07Z</dcterms:created>
  <dcterms:modified xsi:type="dcterms:W3CDTF">2023-06-19T09:19:43Z</dcterms:modified>
</cp:coreProperties>
</file>